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ynexie83-my.sharepoint.com/personal/mgarcia_synexie_fr/Documents/Bureau/"/>
    </mc:Choice>
  </mc:AlternateContent>
  <xr:revisionPtr revIDLastSave="298" documentId="11_E591731DD61F5E77C178EF0CAFB4A0475483E367" xr6:coauthVersionLast="47" xr6:coauthVersionMax="47" xr10:uidLastSave="{E814C3B8-6D2E-4986-9E25-8456425EE0EF}"/>
  <bookViews>
    <workbookView xWindow="-15480" yWindow="-16350" windowWidth="29040" windowHeight="15720" activeTab="3" xr2:uid="{00000000-000D-0000-FFFF-FFFF00000000}"/>
  </bookViews>
  <sheets>
    <sheet name="Paramétrage" sheetId="1" r:id="rId1"/>
    <sheet name="Suivi projets" sheetId="2" r:id="rId2"/>
    <sheet name="Finance €" sheetId="3" r:id="rId3"/>
    <sheet name="Statistiqu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 a="1"/>
  <c r="G6" i="4"/>
  <c r="A6" i="3" a="1"/>
  <c r="A6" i="3" s="1"/>
  <c r="U15" i="2"/>
  <c r="S15" i="2"/>
  <c r="U13" i="2"/>
  <c r="S13" i="2"/>
  <c r="U11" i="2"/>
  <c r="S11" i="2"/>
  <c r="P12" i="3"/>
  <c r="P13" i="3"/>
  <c r="P14" i="3"/>
  <c r="P15" i="3"/>
  <c r="P16" i="3"/>
  <c r="P17" i="3"/>
  <c r="P18" i="3"/>
  <c r="P19" i="3"/>
  <c r="P20" i="3"/>
  <c r="P21" i="3"/>
  <c r="P22" i="3"/>
  <c r="P11" i="3"/>
  <c r="O12" i="3"/>
  <c r="O13" i="3"/>
  <c r="O14" i="3"/>
  <c r="O15" i="3"/>
  <c r="O16" i="3"/>
  <c r="O17" i="3"/>
  <c r="O18" i="3"/>
  <c r="O19" i="3"/>
  <c r="O20" i="3"/>
  <c r="O21" i="3"/>
  <c r="O22" i="3"/>
  <c r="O11" i="3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9" i="2"/>
  <c r="O10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9" i="2"/>
  <c r="N10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9" i="2"/>
  <c r="M10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9" i="2"/>
  <c r="Q1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9" i="2"/>
  <c r="J10" i="2"/>
  <c r="J11" i="2"/>
  <c r="Q11" i="2" s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F9" i="2"/>
  <c r="D9" i="2"/>
  <c r="I12" i="4"/>
  <c r="J12" i="4" s="1"/>
  <c r="I13" i="4"/>
  <c r="I14" i="4"/>
  <c r="I15" i="4"/>
  <c r="I16" i="4"/>
  <c r="I17" i="4"/>
  <c r="I18" i="4"/>
  <c r="I19" i="4"/>
  <c r="I20" i="4"/>
  <c r="I21" i="4"/>
  <c r="I22" i="4"/>
  <c r="I11" i="4"/>
  <c r="E12" i="4"/>
  <c r="E13" i="4"/>
  <c r="E14" i="4"/>
  <c r="E15" i="4"/>
  <c r="E16" i="4"/>
  <c r="E17" i="4"/>
  <c r="E18" i="4"/>
  <c r="E19" i="4"/>
  <c r="E20" i="4"/>
  <c r="E21" i="4"/>
  <c r="E22" i="4"/>
  <c r="E11" i="4"/>
  <c r="C13" i="4"/>
  <c r="C14" i="4"/>
  <c r="C15" i="4"/>
  <c r="C16" i="4"/>
  <c r="C17" i="4"/>
  <c r="C18" i="4"/>
  <c r="C19" i="4"/>
  <c r="C20" i="4"/>
  <c r="C21" i="4"/>
  <c r="C22" i="4"/>
  <c r="B12" i="4"/>
  <c r="B13" i="4"/>
  <c r="B14" i="4"/>
  <c r="B15" i="4"/>
  <c r="B16" i="4"/>
  <c r="B17" i="4"/>
  <c r="B18" i="4"/>
  <c r="B19" i="4"/>
  <c r="B20" i="4"/>
  <c r="B21" i="4"/>
  <c r="B22" i="4"/>
  <c r="A12" i="4"/>
  <c r="A13" i="4"/>
  <c r="A14" i="4"/>
  <c r="A15" i="4"/>
  <c r="A16" i="4"/>
  <c r="A17" i="4"/>
  <c r="A18" i="4"/>
  <c r="A19" i="4"/>
  <c r="A20" i="4"/>
  <c r="A21" i="4"/>
  <c r="A22" i="4"/>
  <c r="B11" i="4"/>
  <c r="A11" i="4"/>
  <c r="A6" i="4"/>
  <c r="A12" i="3"/>
  <c r="A13" i="3"/>
  <c r="A14" i="3"/>
  <c r="A15" i="3"/>
  <c r="A16" i="3"/>
  <c r="A17" i="3"/>
  <c r="A18" i="3"/>
  <c r="A19" i="3"/>
  <c r="A20" i="3"/>
  <c r="A21" i="3"/>
  <c r="A22" i="3"/>
  <c r="A11" i="3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B12" i="3" l="1"/>
  <c r="K12" i="3"/>
  <c r="C12" i="3"/>
  <c r="E12" i="3"/>
  <c r="F13" i="3"/>
  <c r="J13" i="3"/>
  <c r="B13" i="3"/>
  <c r="I13" i="3"/>
  <c r="D13" i="3"/>
  <c r="C13" i="3"/>
  <c r="G13" i="3"/>
  <c r="H13" i="3"/>
  <c r="K13" i="3"/>
  <c r="E13" i="3"/>
  <c r="J14" i="3"/>
  <c r="C14" i="3"/>
  <c r="F14" i="3"/>
  <c r="H14" i="3"/>
  <c r="K14" i="3"/>
  <c r="E14" i="3"/>
  <c r="G14" i="3"/>
  <c r="D14" i="3"/>
  <c r="I14" i="3"/>
  <c r="B14" i="3"/>
  <c r="H15" i="3"/>
  <c r="E15" i="3"/>
  <c r="G15" i="3"/>
  <c r="C15" i="3"/>
  <c r="K15" i="3"/>
  <c r="F15" i="3"/>
  <c r="D15" i="3"/>
  <c r="J15" i="3"/>
  <c r="I15" i="3"/>
  <c r="B15" i="3"/>
  <c r="C16" i="3"/>
  <c r="E16" i="3"/>
  <c r="D16" i="3"/>
  <c r="K16" i="3"/>
  <c r="G16" i="3"/>
  <c r="J16" i="3"/>
  <c r="H16" i="3"/>
  <c r="F16" i="3"/>
  <c r="I16" i="3"/>
  <c r="B16" i="3"/>
  <c r="H17" i="3"/>
  <c r="E17" i="3"/>
  <c r="D17" i="3"/>
  <c r="I17" i="3"/>
  <c r="J17" i="3"/>
  <c r="F17" i="3"/>
  <c r="C17" i="3"/>
  <c r="G17" i="3"/>
  <c r="K17" i="3"/>
  <c r="B17" i="3"/>
  <c r="H18" i="3"/>
  <c r="G18" i="3"/>
  <c r="F18" i="3"/>
  <c r="K18" i="3"/>
  <c r="E18" i="3"/>
  <c r="I18" i="3"/>
  <c r="D18" i="3"/>
  <c r="C18" i="3"/>
  <c r="J18" i="3"/>
  <c r="B18" i="3"/>
  <c r="F19" i="3"/>
  <c r="G19" i="3"/>
  <c r="C19" i="3"/>
  <c r="E19" i="3"/>
  <c r="K19" i="3"/>
  <c r="D19" i="3"/>
  <c r="J19" i="3"/>
  <c r="H19" i="3"/>
  <c r="B19" i="3"/>
  <c r="I19" i="3"/>
  <c r="G20" i="3"/>
  <c r="F20" i="3"/>
  <c r="H20" i="3"/>
  <c r="K20" i="3"/>
  <c r="B20" i="3"/>
  <c r="E20" i="3"/>
  <c r="I20" i="3"/>
  <c r="D20" i="3"/>
  <c r="C20" i="3"/>
  <c r="J20" i="3"/>
  <c r="F21" i="3"/>
  <c r="H21" i="3"/>
  <c r="B21" i="3"/>
  <c r="D21" i="3"/>
  <c r="C21" i="3"/>
  <c r="K21" i="3"/>
  <c r="G21" i="3"/>
  <c r="I21" i="3"/>
  <c r="E21" i="3"/>
  <c r="J21" i="3"/>
  <c r="K22" i="3"/>
  <c r="G22" i="3"/>
  <c r="I22" i="3"/>
  <c r="F22" i="3"/>
  <c r="J22" i="3"/>
  <c r="C22" i="3"/>
  <c r="H22" i="3"/>
  <c r="D22" i="3"/>
  <c r="E22" i="3"/>
  <c r="B22" i="3"/>
  <c r="E11" i="3"/>
  <c r="K11" i="3"/>
  <c r="C11" i="3"/>
  <c r="B11" i="3"/>
  <c r="M11" i="2"/>
  <c r="N11" i="2"/>
  <c r="F11" i="3" s="1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K13" i="4"/>
  <c r="J13" i="4"/>
  <c r="J14" i="4"/>
  <c r="K14" i="4"/>
  <c r="J15" i="4"/>
  <c r="K15" i="4"/>
  <c r="J16" i="4"/>
  <c r="K16" i="4"/>
  <c r="J17" i="4"/>
  <c r="K17" i="4"/>
  <c r="J18" i="4"/>
  <c r="K18" i="4"/>
  <c r="J19" i="4"/>
  <c r="K19" i="4"/>
  <c r="J20" i="4"/>
  <c r="K20" i="4"/>
  <c r="J21" i="4"/>
  <c r="K21" i="4"/>
  <c r="J22" i="4"/>
  <c r="K22" i="4"/>
  <c r="J11" i="4"/>
  <c r="G21" i="4"/>
  <c r="F21" i="4"/>
  <c r="G22" i="4"/>
  <c r="F22" i="4"/>
  <c r="G11" i="4"/>
  <c r="F11" i="4"/>
  <c r="D12" i="3"/>
  <c r="C12" i="4"/>
  <c r="C6" i="4"/>
  <c r="C11" i="4"/>
  <c r="D11" i="3"/>
  <c r="F12" i="3"/>
  <c r="G12" i="3"/>
  <c r="O11" i="2" l="1"/>
  <c r="P11" i="2" s="1"/>
  <c r="G11" i="3"/>
  <c r="I11" i="3"/>
  <c r="C6" i="3"/>
  <c r="I12" i="3"/>
  <c r="H12" i="3"/>
  <c r="J12" i="3" s="1"/>
  <c r="K11" i="4" l="1"/>
  <c r="E6" i="3"/>
  <c r="H11" i="3"/>
  <c r="K12" i="4"/>
  <c r="E6" i="4"/>
  <c r="I6" i="4" l="1"/>
  <c r="G6" i="3"/>
  <c r="I6" i="3"/>
  <c r="J1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<sst xmlns="http://schemas.openxmlformats.org/spreadsheetml/2006/main" count="133" uniqueCount="93">
  <si>
    <t>Complétez d’abord les référentiels. Le suivi, la finance et les statistiques sont déjà structurés pour un usage client.</t>
  </si>
  <si>
    <t>Le référentiel collaborateurs alimente automatiquement le manager et le coût chargé.</t>
  </si>
  <si>
    <t>Le référentiel projets alimente automatiquement le client, le budget et le taux facturé.</t>
  </si>
  <si>
    <t>Règles générales</t>
  </si>
  <si>
    <t>Règles financières</t>
  </si>
  <si>
    <t>Référentiel collaborateurs</t>
  </si>
  <si>
    <t>Référentiel projets</t>
  </si>
  <si>
    <t>À remplir : paramètres généraux du modèle.</t>
  </si>
  <si>
    <t>À remplir : hypothèses financières du fichier.</t>
  </si>
  <si>
    <t>Heure début théorique</t>
  </si>
  <si>
    <t>08:00</t>
  </si>
  <si>
    <t>Seuil retard (min)</t>
  </si>
  <si>
    <t>Pause minimum (min)</t>
  </si>
  <si>
    <t>Prix horaire par défaut (€)</t>
  </si>
  <si>
    <t>Taux frais / sécurité (%)</t>
  </si>
  <si>
    <t>Décision par défaut</t>
  </si>
  <si>
    <t>En attente</t>
  </si>
  <si>
    <t>Collaborateur</t>
  </si>
  <si>
    <t>Manager</t>
  </si>
  <si>
    <t>Coût horaire (€)</t>
  </si>
  <si>
    <t>Taux facturé (€ / h)</t>
  </si>
  <si>
    <t>Pôle</t>
  </si>
  <si>
    <t>Actif</t>
  </si>
  <si>
    <t>Commentaire</t>
  </si>
  <si>
    <t>Collab 1</t>
  </si>
  <si>
    <t>Manager 1</t>
  </si>
  <si>
    <t>ADV</t>
  </si>
  <si>
    <t>Oui</t>
  </si>
  <si>
    <t>Exemple</t>
  </si>
  <si>
    <t>Collab 2</t>
  </si>
  <si>
    <t>Terrain</t>
  </si>
  <si>
    <t>Projet</t>
  </si>
  <si>
    <t>Client</t>
  </si>
  <si>
    <t>Manager réf.</t>
  </si>
  <si>
    <t>Heures budget</t>
  </si>
  <si>
    <t>Budget initial (€)</t>
  </si>
  <si>
    <t>Avenants signés (€)</t>
  </si>
  <si>
    <t>Projet X</t>
  </si>
  <si>
    <t>Client A</t>
  </si>
  <si>
    <t>Projet Y</t>
  </si>
  <si>
    <t>Client B</t>
  </si>
  <si>
    <t>Passez à l’étape supérieure</t>
  </si>
  <si>
    <t>Avec Lemmpo, centralisez budgets, temps passés, coûts et marges dans une seule base exploitable.</t>
  </si>
  <si>
    <t>Remplacez les exemples puis utilisez l’onglet Suivi projets comme base de travail quotidienne.</t>
  </si>
  <si>
    <t>Template Lemmpo — Suivi projets</t>
  </si>
  <si>
    <t>Complétez uniquement les colonnes de saisie : Date, Collaborateur, Projet, Heure début, Heure fin, Pause, Retenue, Décision.</t>
  </si>
  <si>
    <t>Le fichier calcule automatiquement le client, le manager, les heures décimales, le coût chargé, le CA réel, la marge et le statut.</t>
  </si>
  <si>
    <t>Statuts : OK / Avenant à prévoir / Rentabilité négative.</t>
  </si>
  <si>
    <t>ID</t>
  </si>
  <si>
    <t>Date</t>
  </si>
  <si>
    <t>Heure début</t>
  </si>
  <si>
    <t>Heure fin</t>
  </si>
  <si>
    <t>Pause (min)</t>
  </si>
  <si>
    <t>Durée</t>
  </si>
  <si>
    <t>Retenue (h)</t>
  </si>
  <si>
    <t>Décision</t>
  </si>
  <si>
    <t>Coût chargé (€)</t>
  </si>
  <si>
    <t>CA réel (€)</t>
  </si>
  <si>
    <t>Marge (€)</t>
  </si>
  <si>
    <t>Statut</t>
  </si>
  <si>
    <t>FIN-001</t>
  </si>
  <si>
    <t>Accordé</t>
  </si>
  <si>
    <t>FIN-002</t>
  </si>
  <si>
    <t>Récap dirigeant / ADV</t>
  </si>
  <si>
    <t>Lignes saisies</t>
  </si>
  <si>
    <t>CA réel total</t>
  </si>
  <si>
    <t>Coût réel total</t>
  </si>
  <si>
    <t>Marge totale</t>
  </si>
  <si>
    <t>Projets en dérive</t>
  </si>
  <si>
    <t>Heures totales</t>
  </si>
  <si>
    <t>Utilisez cet onglet comme base opérationnelle : tout le reste du fichier s’appuie sur ces données.</t>
  </si>
  <si>
    <t>Saisissez proprement les heures, gardez un seul nom par projet et par collaborateur.</t>
  </si>
  <si>
    <t>Lemmpo — Finance €</t>
  </si>
  <si>
    <t>Lignes suivies</t>
  </si>
  <si>
    <t>Taux de marge</t>
  </si>
  <si>
    <t>Heures réelles</t>
  </si>
  <si>
    <t>Budget total (€)</t>
  </si>
  <si>
    <t>Coût réel (€)</t>
  </si>
  <si>
    <t>Écart budget (€)</t>
  </si>
  <si>
    <t>Nb lignes</t>
  </si>
  <si>
    <t>Lecture conseillée</t>
  </si>
  <si>
    <t>1. Vérifiez les heures réelles et le CA réel. 2. Comparez ensuite la marge et l’écart budget. 3. Utilisez le statut pour repérer les projets à surveiller.</t>
  </si>
  <si>
    <t>Cet onglet donne une vue projet directement exploitable par un dirigeant ou une ADV.</t>
  </si>
  <si>
    <t>Lemmpo — Statistiques</t>
  </si>
  <si>
    <t>Synthèse volumes / durées / marges en heures décimales pour rester lisible dans tous les environnements.</t>
  </si>
  <si>
    <t>Durée totale</t>
  </si>
  <si>
    <t>Clients actifs</t>
  </si>
  <si>
    <t>Durée (h)</t>
  </si>
  <si>
    <t>Utilisez cet onglet pour repérer rapidement qui travaille sur quoi, où se concentrent les heures et quels projets portent la marge.</t>
  </si>
  <si>
    <t>Cette base est volontairement propre et sobre pour rester facile à reprendre et à adapter.</t>
  </si>
  <si>
    <t>Heures décimales</t>
  </si>
  <si>
    <t>Budget restant</t>
  </si>
  <si>
    <t xml:space="preserve">Template Suivi Financier Projet Lemmpo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</si>
</sst>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€&quot;"/>
    <numFmt numFmtId="165" formatCode="0.0%"/>
    <numFmt numFmtId="166" formatCode="[h]:mm"/>
    <numFmt numFmtId="167" formatCode="#,##0.00\ &quot;€&quot;"/>
    <numFmt numFmtId="168" formatCode="#,##0.0\ &quot;€&quot;"/>
  </numFmts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1"/>
      <color rgb="FFA55F7D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E63D0"/>
        <bgColor indexed="64"/>
      </patternFill>
    </fill>
    <fill>
      <patternFill patternType="solid">
        <fgColor rgb="FFF3F3F6"/>
        <bgColor indexed="64"/>
      </patternFill>
    </fill>
    <fill>
      <patternFill patternType="solid">
        <fgColor rgb="FFEAF0FF"/>
        <bgColor indexed="64"/>
      </patternFill>
    </fill>
    <fill>
      <patternFill patternType="solid">
        <fgColor rgb="FFF7F8FB"/>
        <bgColor indexed="64"/>
      </patternFill>
    </fill>
    <fill>
      <patternFill patternType="solid">
        <fgColor rgb="FFA55F7D"/>
        <bgColor indexed="64"/>
      </patternFill>
    </fill>
    <fill>
      <patternFill patternType="solid">
        <fgColor rgb="FFFBE9E8"/>
        <bgColor indexed="64"/>
      </patternFill>
    </fill>
    <fill>
      <patternFill patternType="solid">
        <fgColor rgb="FFDA615B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 applyAlignment="1">
      <alignment wrapText="1"/>
    </xf>
    <xf numFmtId="0" fontId="2" fillId="5" borderId="0" xfId="0" applyFont="1" applyFill="1" applyAlignment="1">
      <alignment wrapText="1"/>
    </xf>
    <xf numFmtId="20" fontId="0" fillId="0" borderId="1" xfId="0" applyNumberFormat="1" applyBorder="1" applyAlignment="1" applyProtection="1">
      <alignment horizontal="center"/>
      <protection locked="0"/>
    </xf>
    <xf numFmtId="0" fontId="4" fillId="7" borderId="0" xfId="0" applyFont="1" applyFill="1" applyAlignment="1">
      <alignment horizont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2" fillId="5" borderId="0" xfId="0" applyFont="1" applyFill="1" applyAlignment="1">
      <alignment wrapText="1"/>
    </xf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0" fontId="5" fillId="0" borderId="0" xfId="0" applyFont="1"/>
    <xf numFmtId="0" fontId="3" fillId="6" borderId="1" xfId="0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10" borderId="0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 wrapText="1"/>
    </xf>
    <xf numFmtId="0" fontId="0" fillId="10" borderId="0" xfId="0" applyFill="1" applyBorder="1"/>
    <xf numFmtId="0" fontId="3" fillId="2" borderId="2" xfId="0" applyFont="1" applyFill="1" applyBorder="1" applyAlignment="1">
      <alignment horizontal="center" wrapText="1"/>
    </xf>
    <xf numFmtId="0" fontId="0" fillId="0" borderId="1" xfId="0" applyBorder="1"/>
    <xf numFmtId="168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8" fontId="6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BE7E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3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AF6E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DA615B"/>
      <color rgb="FFA55F7D"/>
      <color rgb="FF3E6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réel par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'Finance €'!$F$10</c:f>
              <c:strCache>
                <c:ptCount val="1"/>
                <c:pt idx="0">
                  <c:v>CA réel (€)</c:v>
                </c:pt>
              </c:strCache>
            </c:strRef>
          </c:tx>
          <c:spPr>
            <a:solidFill>
              <a:srgbClr val="3E63D0"/>
            </a:solidFill>
            <a:ln>
              <a:noFill/>
            </a:ln>
            <a:effectLst/>
          </c:spPr>
          <c:invertIfNegative val="0"/>
          <c:cat>
            <c:strRef>
              <c:f>'Finance €'!$A$11:$A$22</c:f>
              <c:strCache>
                <c:ptCount val="2"/>
                <c:pt idx="0">
                  <c:v>Projet X</c:v>
                </c:pt>
                <c:pt idx="1">
                  <c:v>Projet Y</c:v>
                </c:pt>
              </c:strCache>
            </c:strRef>
          </c:cat>
          <c:val>
            <c:numRef>
              <c:f>'Finance €'!$F$11:$F$22</c:f>
              <c:numCache>
                <c:formatCode>#\ ##0.0\ "€"</c:formatCode>
                <c:ptCount val="12"/>
                <c:pt idx="0">
                  <c:v>297.5</c:v>
                </c:pt>
                <c:pt idx="1">
                  <c:v>630.00000000000034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A-4431-913E-C9D07BBD2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9172607"/>
        <c:axId val="1679173567"/>
      </c:barChart>
      <c:catAx>
        <c:axId val="167917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9173567"/>
        <c:crosses val="autoZero"/>
        <c:auto val="1"/>
        <c:lblAlgn val="ctr"/>
        <c:lblOffset val="100"/>
        <c:noMultiLvlLbl val="0"/>
      </c:catAx>
      <c:valAx>
        <c:axId val="167917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9172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Marge par</a:t>
            </a:r>
            <a:r>
              <a:rPr lang="en-US" baseline="0"/>
              <a:t> projet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'Finance €'!$H$10</c:f>
              <c:strCache>
                <c:ptCount val="1"/>
                <c:pt idx="0">
                  <c:v>Marge (€)</c:v>
                </c:pt>
              </c:strCache>
            </c:strRef>
          </c:tx>
          <c:spPr>
            <a:solidFill>
              <a:srgbClr val="A55F7D"/>
            </a:solidFill>
            <a:ln>
              <a:noFill/>
            </a:ln>
            <a:effectLst/>
          </c:spPr>
          <c:invertIfNegative val="0"/>
          <c:cat>
            <c:strRef>
              <c:f>'Finance €'!$A$11:$A$22</c:f>
              <c:strCache>
                <c:ptCount val="2"/>
                <c:pt idx="0">
                  <c:v>Projet X</c:v>
                </c:pt>
                <c:pt idx="1">
                  <c:v>Projet Y</c:v>
                </c:pt>
              </c:strCache>
            </c:strRef>
          </c:cat>
          <c:val>
            <c:numRef>
              <c:f>'Finance €'!$H$11:$H$22</c:f>
              <c:numCache>
                <c:formatCode>#\ ##0.0\ "€"</c:formatCode>
                <c:ptCount val="12"/>
                <c:pt idx="0">
                  <c:v>212.8</c:v>
                </c:pt>
                <c:pt idx="1">
                  <c:v>445.20000000000027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0-4028-A454-0653148A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8843567"/>
        <c:axId val="1588838767"/>
      </c:barChart>
      <c:catAx>
        <c:axId val="158884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8838767"/>
        <c:crosses val="autoZero"/>
        <c:auto val="1"/>
        <c:lblAlgn val="ctr"/>
        <c:lblOffset val="100"/>
        <c:noMultiLvlLbl val="0"/>
      </c:catAx>
      <c:valAx>
        <c:axId val="158883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8843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Budget restant par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DA615B"/>
            </a:solidFill>
            <a:ln>
              <a:noFill/>
            </a:ln>
            <a:effectLst/>
          </c:spPr>
          <c:invertIfNegative val="0"/>
          <c:cat>
            <c:strRef>
              <c:f>'Finance €'!$O$11:$O$22</c:f>
              <c:strCache>
                <c:ptCount val="2"/>
                <c:pt idx="0">
                  <c:v>Projet X</c:v>
                </c:pt>
                <c:pt idx="1">
                  <c:v>Projet Y</c:v>
                </c:pt>
              </c:strCache>
            </c:strRef>
          </c:cat>
          <c:val>
            <c:numRef>
              <c:f>'Finance €'!$P$11:$P$22</c:f>
              <c:numCache>
                <c:formatCode>#\ ##0.00" €"</c:formatCode>
                <c:ptCount val="12"/>
                <c:pt idx="0">
                  <c:v>3102.5</c:v>
                </c:pt>
                <c:pt idx="1">
                  <c:v>4770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50-4442-BB9A-382DEC58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88845007"/>
        <c:axId val="1588840687"/>
      </c:barChart>
      <c:catAx>
        <c:axId val="1588845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8840687"/>
        <c:crosses val="autoZero"/>
        <c:auto val="1"/>
        <c:lblAlgn val="ctr"/>
        <c:lblOffset val="100"/>
        <c:noMultiLvlLbl val="0"/>
      </c:catAx>
      <c:valAx>
        <c:axId val="1588840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&quot; 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884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Durée</a:t>
            </a:r>
            <a:r>
              <a:rPr lang="en-US" baseline="0"/>
              <a:t> par collaborateur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Statistiques!$C$10</c:f>
              <c:strCache>
                <c:ptCount val="1"/>
                <c:pt idx="0">
                  <c:v>Durée (h)</c:v>
                </c:pt>
              </c:strCache>
            </c:strRef>
          </c:tx>
          <c:spPr>
            <a:solidFill>
              <a:srgbClr val="A55F7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Statistiques!$A$11:$A$12</c:f>
              <c:strCache>
                <c:ptCount val="2"/>
                <c:pt idx="0">
                  <c:v>Collab 1</c:v>
                </c:pt>
                <c:pt idx="1">
                  <c:v>Collab 2</c:v>
                </c:pt>
              </c:strCache>
            </c:strRef>
          </c:cat>
          <c:val>
            <c:numRef>
              <c:f>Statistiques!$C$11:$C$12</c:f>
              <c:numCache>
                <c:formatCode>0.00</c:formatCode>
                <c:ptCount val="2"/>
                <c:pt idx="0">
                  <c:v>3.5</c:v>
                </c:pt>
                <c:pt idx="1">
                  <c:v>7.0000000000000036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0C-4DB1-8DDC-203EE9A1F97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93588143"/>
        <c:axId val="13935900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2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Statistiques!$A$11:$A$12</c15:sqref>
                        </c15:formulaRef>
                      </c:ext>
                    </c:extLst>
                    <c:strCache>
                      <c:ptCount val="2"/>
                      <c:pt idx="0">
                        <c:v>Collab 1</c:v>
                      </c:pt>
                      <c:pt idx="1">
                        <c:v>Collab 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Statistiques!$F$11:$F$22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80C-4DB1-8DDC-203EE9A1F970}"/>
                  </c:ext>
                </c:extLst>
              </c15:ser>
            </c15:filteredBarSeries>
          </c:ext>
        </c:extLst>
      </c:barChart>
      <c:catAx>
        <c:axId val="1393588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590063"/>
        <c:crosses val="autoZero"/>
        <c:auto val="1"/>
        <c:lblAlgn val="ctr"/>
        <c:lblOffset val="100"/>
        <c:noMultiLvlLbl val="0"/>
      </c:catAx>
      <c:valAx>
        <c:axId val="1393590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588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Marge</a:t>
            </a:r>
            <a:r>
              <a:rPr lang="en-US" baseline="0"/>
              <a:t> par projet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Statistiques!$K$10</c:f>
              <c:strCache>
                <c:ptCount val="1"/>
                <c:pt idx="0">
                  <c:v>Marge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61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2B-438F-B185-BEE7909D516A}"/>
              </c:ext>
            </c:extLst>
          </c:dPt>
          <c:dPt>
            <c:idx val="1"/>
            <c:invertIfNegative val="0"/>
            <c:bubble3D val="0"/>
            <c:spPr>
              <a:solidFill>
                <a:srgbClr val="DA61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2B-438F-B185-BEE7909D516A}"/>
              </c:ext>
            </c:extLst>
          </c:dPt>
          <c:cat>
            <c:strRef>
              <c:f>Statistiques!$I$11:$I$12</c:f>
              <c:strCache>
                <c:ptCount val="2"/>
                <c:pt idx="0">
                  <c:v>Projet X</c:v>
                </c:pt>
                <c:pt idx="1">
                  <c:v>Projet Y</c:v>
                </c:pt>
              </c:strCache>
            </c:strRef>
          </c:cat>
          <c:val>
            <c:numRef>
              <c:f>Statistiques!$K$11:$K$12</c:f>
              <c:numCache>
                <c:formatCode>#.##0\.00\ "$"</c:formatCode>
                <c:ptCount val="2"/>
                <c:pt idx="0">
                  <c:v>212.8</c:v>
                </c:pt>
                <c:pt idx="1">
                  <c:v>445.20000000000027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B-438F-B185-BEE7909D5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7216799"/>
        <c:axId val="1237333407"/>
      </c:barChart>
      <c:catAx>
        <c:axId val="123721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7333407"/>
        <c:crosses val="autoZero"/>
        <c:auto val="1"/>
        <c:lblAlgn val="ctr"/>
        <c:lblOffset val="100"/>
        <c:noMultiLvlLbl val="0"/>
      </c:catAx>
      <c:valAx>
        <c:axId val="1237333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7216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0</xdr:colOff>
      <xdr:row>0</xdr:row>
      <xdr:rowOff>0</xdr:rowOff>
    </xdr:from>
    <xdr:to>
      <xdr:col>13</xdr:col>
      <xdr:colOff>504825</xdr:colOff>
      <xdr:row>2</xdr:row>
      <xdr:rowOff>140683</xdr:rowOff>
    </xdr:to>
    <xdr:pic>
      <xdr:nvPicPr>
        <xdr:cNvPr id="2" name="Picture 1" descr="logo-fond-blanc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01675" y="0"/>
          <a:ext cx="1619250" cy="5216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0</xdr:colOff>
      <xdr:row>0</xdr:row>
      <xdr:rowOff>0</xdr:rowOff>
    </xdr:from>
    <xdr:to>
      <xdr:col>14</xdr:col>
      <xdr:colOff>463550</xdr:colOff>
      <xdr:row>2</xdr:row>
      <xdr:rowOff>171370</xdr:rowOff>
    </xdr:to>
    <xdr:pic>
      <xdr:nvPicPr>
        <xdr:cNvPr id="2" name="Picture 1" descr="logo-fond-blan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20725" y="0"/>
          <a:ext cx="1714500" cy="5523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0</xdr:row>
      <xdr:rowOff>0</xdr:rowOff>
    </xdr:from>
    <xdr:to>
      <xdr:col>9</xdr:col>
      <xdr:colOff>504825</xdr:colOff>
      <xdr:row>2</xdr:row>
      <xdr:rowOff>140683</xdr:rowOff>
    </xdr:to>
    <xdr:pic>
      <xdr:nvPicPr>
        <xdr:cNvPr id="2" name="Picture 1" descr="logo-fond-blanc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1619250" cy="521683"/>
        </a:xfrm>
        <a:prstGeom prst="rect">
          <a:avLst/>
        </a:prstGeom>
      </xdr:spPr>
    </xdr:pic>
    <xdr:clientData/>
  </xdr:twoCellAnchor>
  <xdr:twoCellAnchor>
    <xdr:from>
      <xdr:col>4</xdr:col>
      <xdr:colOff>209550</xdr:colOff>
      <xdr:row>24</xdr:row>
      <xdr:rowOff>11112</xdr:rowOff>
    </xdr:from>
    <xdr:to>
      <xdr:col>8</xdr:col>
      <xdr:colOff>95250</xdr:colOff>
      <xdr:row>39</xdr:row>
      <xdr:rowOff>39687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A93E543-A201-9E74-6310-5FE8EE6CF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24</xdr:row>
      <xdr:rowOff>1587</xdr:rowOff>
    </xdr:from>
    <xdr:to>
      <xdr:col>3</xdr:col>
      <xdr:colOff>981075</xdr:colOff>
      <xdr:row>39</xdr:row>
      <xdr:rowOff>30162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3790DD5-391C-471A-C9BD-71AAA258C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587375</xdr:colOff>
      <xdr:row>24</xdr:row>
      <xdr:rowOff>84137</xdr:rowOff>
    </xdr:from>
    <xdr:to>
      <xdr:col>18</xdr:col>
      <xdr:colOff>568325</xdr:colOff>
      <xdr:row>39</xdr:row>
      <xdr:rowOff>112712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CAAA1CC-BED3-A46E-D170-1EE425A02C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0</xdr:row>
      <xdr:rowOff>0</xdr:rowOff>
    </xdr:from>
    <xdr:to>
      <xdr:col>9</xdr:col>
      <xdr:colOff>371475</xdr:colOff>
      <xdr:row>2</xdr:row>
      <xdr:rowOff>140683</xdr:rowOff>
    </xdr:to>
    <xdr:pic>
      <xdr:nvPicPr>
        <xdr:cNvPr id="2" name="Picture 1" descr="logo-fond-blanc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0" y="0"/>
          <a:ext cx="1619250" cy="521683"/>
        </a:xfrm>
        <a:prstGeom prst="rect">
          <a:avLst/>
        </a:prstGeom>
      </xdr:spPr>
    </xdr:pic>
    <xdr:clientData/>
  </xdr:twoCellAnchor>
  <xdr:twoCellAnchor>
    <xdr:from>
      <xdr:col>11</xdr:col>
      <xdr:colOff>587375</xdr:colOff>
      <xdr:row>17</xdr:row>
      <xdr:rowOff>20637</xdr:rowOff>
    </xdr:from>
    <xdr:to>
      <xdr:col>19</xdr:col>
      <xdr:colOff>285750</xdr:colOff>
      <xdr:row>32</xdr:row>
      <xdr:rowOff>49212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6AFD8E3-E57D-29D6-BA21-5D8330741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581025</xdr:colOff>
      <xdr:row>0</xdr:row>
      <xdr:rowOff>163512</xdr:rowOff>
    </xdr:from>
    <xdr:to>
      <xdr:col>19</xdr:col>
      <xdr:colOff>273050</xdr:colOff>
      <xdr:row>16</xdr:row>
      <xdr:rowOff>7937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16130E4-3430-8614-6E03-04A672B5F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showGridLines="0" workbookViewId="0">
      <selection activeCell="F35" sqref="F35"/>
    </sheetView>
  </sheetViews>
  <sheetFormatPr baseColWidth="10" defaultColWidth="8.7265625" defaultRowHeight="14.5" x14ac:dyDescent="0.35"/>
  <cols>
    <col min="1" max="1" width="20.7265625" customWidth="1"/>
    <col min="2" max="2" width="18.7265625" customWidth="1"/>
    <col min="3" max="3" width="14.7265625" customWidth="1"/>
    <col min="4" max="5" width="16.7265625" customWidth="1"/>
    <col min="6" max="6" width="18.7265625" customWidth="1"/>
    <col min="7" max="8" width="14.7265625" customWidth="1"/>
    <col min="10" max="12" width="18.7265625" customWidth="1"/>
    <col min="13" max="13" width="16.7265625" customWidth="1"/>
    <col min="14" max="14" width="14.7265625" customWidth="1"/>
    <col min="15" max="16" width="16.7265625" customWidth="1"/>
  </cols>
  <sheetData>
    <row r="1" spans="1:16" x14ac:dyDescent="0.35">
      <c r="A1" s="21" t="s">
        <v>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3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5" spans="1:16" x14ac:dyDescent="0.35">
      <c r="A5" s="23" t="s">
        <v>1</v>
      </c>
      <c r="B5" s="23"/>
      <c r="C5" s="23"/>
      <c r="D5" s="23"/>
      <c r="E5" s="23"/>
      <c r="F5" s="23"/>
      <c r="G5" s="23"/>
      <c r="H5" s="23"/>
      <c r="J5" s="24" t="s">
        <v>2</v>
      </c>
      <c r="K5" s="24"/>
      <c r="L5" s="24"/>
      <c r="M5" s="24"/>
      <c r="N5" s="24"/>
      <c r="O5" s="24"/>
      <c r="P5" s="24"/>
    </row>
    <row r="6" spans="1:16" x14ac:dyDescent="0.35">
      <c r="A6" s="23"/>
      <c r="B6" s="23"/>
      <c r="C6" s="23"/>
      <c r="D6" s="23"/>
      <c r="E6" s="23"/>
      <c r="F6" s="23"/>
      <c r="G6" s="23"/>
      <c r="H6" s="23"/>
      <c r="J6" s="24"/>
      <c r="K6" s="24"/>
      <c r="L6" s="24"/>
      <c r="M6" s="24"/>
      <c r="N6" s="24"/>
      <c r="O6" s="24"/>
      <c r="P6" s="24"/>
    </row>
    <row r="8" spans="1:16" x14ac:dyDescent="0.35">
      <c r="A8" s="25" t="s">
        <v>3</v>
      </c>
      <c r="B8" s="25"/>
      <c r="C8" s="25"/>
      <c r="D8" s="25"/>
      <c r="F8" s="25" t="s">
        <v>4</v>
      </c>
      <c r="G8" s="25"/>
      <c r="H8" s="25"/>
    </row>
    <row r="9" spans="1:16" ht="43.5" x14ac:dyDescent="0.35">
      <c r="A9" s="2" t="s">
        <v>7</v>
      </c>
      <c r="F9" s="2" t="s">
        <v>8</v>
      </c>
    </row>
    <row r="10" spans="1:16" ht="29" x14ac:dyDescent="0.35">
      <c r="A10" s="1" t="s">
        <v>9</v>
      </c>
      <c r="C10" s="3" t="s">
        <v>10</v>
      </c>
      <c r="F10" s="4" t="s">
        <v>13</v>
      </c>
      <c r="G10" s="5">
        <v>85</v>
      </c>
    </row>
    <row r="12" spans="1:16" ht="29" x14ac:dyDescent="0.35">
      <c r="A12" s="1" t="s">
        <v>11</v>
      </c>
      <c r="C12" s="6">
        <v>5</v>
      </c>
      <c r="F12" s="4" t="s">
        <v>14</v>
      </c>
      <c r="G12" s="7">
        <v>0.1</v>
      </c>
    </row>
    <row r="14" spans="1:16" x14ac:dyDescent="0.35">
      <c r="A14" s="1" t="s">
        <v>12</v>
      </c>
      <c r="C14" s="6">
        <v>30</v>
      </c>
      <c r="F14" s="4" t="s">
        <v>15</v>
      </c>
      <c r="G14" s="8" t="s">
        <v>16</v>
      </c>
    </row>
    <row r="27" spans="1:16" x14ac:dyDescent="0.35">
      <c r="A27" s="25" t="s">
        <v>5</v>
      </c>
      <c r="B27" s="25"/>
      <c r="C27" s="25"/>
      <c r="D27" s="25"/>
      <c r="E27" s="25"/>
      <c r="F27" s="25"/>
      <c r="G27" s="25"/>
      <c r="J27" s="25" t="s">
        <v>6</v>
      </c>
      <c r="K27" s="25"/>
      <c r="L27" s="25"/>
      <c r="M27" s="25"/>
      <c r="N27" s="25"/>
      <c r="O27" s="25"/>
      <c r="P27" s="25"/>
    </row>
    <row r="29" spans="1:16" ht="29" x14ac:dyDescent="0.35">
      <c r="A29" s="9" t="s">
        <v>17</v>
      </c>
      <c r="B29" s="10" t="s">
        <v>18</v>
      </c>
      <c r="C29" s="11" t="s">
        <v>19</v>
      </c>
      <c r="D29" s="11" t="s">
        <v>20</v>
      </c>
      <c r="E29" s="9" t="s">
        <v>21</v>
      </c>
      <c r="F29" s="10" t="s">
        <v>22</v>
      </c>
      <c r="G29" s="11" t="s">
        <v>23</v>
      </c>
      <c r="J29" s="9" t="s">
        <v>31</v>
      </c>
      <c r="K29" s="10" t="s">
        <v>32</v>
      </c>
      <c r="L29" s="11" t="s">
        <v>33</v>
      </c>
      <c r="M29" s="11" t="s">
        <v>20</v>
      </c>
      <c r="N29" s="10" t="s">
        <v>34</v>
      </c>
      <c r="O29" s="9" t="s">
        <v>35</v>
      </c>
      <c r="P29" s="11" t="s">
        <v>36</v>
      </c>
    </row>
    <row r="30" spans="1:16" x14ac:dyDescent="0.35">
      <c r="A30" s="12" t="s">
        <v>24</v>
      </c>
      <c r="B30" s="12" t="s">
        <v>25</v>
      </c>
      <c r="C30" s="5">
        <v>22</v>
      </c>
      <c r="D30" s="5">
        <v>85</v>
      </c>
      <c r="E30" s="12" t="s">
        <v>26</v>
      </c>
      <c r="F30" s="12" t="s">
        <v>27</v>
      </c>
      <c r="G30" s="12" t="s">
        <v>28</v>
      </c>
      <c r="J30" s="12" t="s">
        <v>37</v>
      </c>
      <c r="K30" s="12" t="s">
        <v>38</v>
      </c>
      <c r="L30" s="12" t="s">
        <v>25</v>
      </c>
      <c r="M30" s="5">
        <v>85</v>
      </c>
      <c r="N30" s="13">
        <v>40</v>
      </c>
      <c r="O30" s="5">
        <v>3400</v>
      </c>
      <c r="P30" s="5">
        <v>0</v>
      </c>
    </row>
    <row r="31" spans="1:16" x14ac:dyDescent="0.35">
      <c r="A31" s="12" t="s">
        <v>29</v>
      </c>
      <c r="B31" s="12" t="s">
        <v>25</v>
      </c>
      <c r="C31" s="5">
        <v>24</v>
      </c>
      <c r="D31" s="5">
        <v>90</v>
      </c>
      <c r="E31" s="12" t="s">
        <v>30</v>
      </c>
      <c r="F31" s="12" t="s">
        <v>27</v>
      </c>
      <c r="G31" s="12" t="s">
        <v>28</v>
      </c>
      <c r="J31" s="12" t="s">
        <v>39</v>
      </c>
      <c r="K31" s="12" t="s">
        <v>40</v>
      </c>
      <c r="L31" s="12" t="s">
        <v>25</v>
      </c>
      <c r="M31" s="5">
        <v>90</v>
      </c>
      <c r="N31" s="13">
        <v>60</v>
      </c>
      <c r="O31" s="5">
        <v>5400</v>
      </c>
      <c r="P31" s="5">
        <v>0</v>
      </c>
    </row>
    <row r="32" spans="1:16" x14ac:dyDescent="0.35">
      <c r="A32" s="12"/>
      <c r="B32" s="12"/>
      <c r="C32" s="5"/>
      <c r="D32" s="5"/>
      <c r="E32" s="12"/>
      <c r="F32" s="12"/>
      <c r="G32" s="12"/>
      <c r="J32" s="12"/>
      <c r="K32" s="12"/>
      <c r="L32" s="12"/>
      <c r="M32" s="5"/>
      <c r="N32" s="13"/>
      <c r="O32" s="5"/>
      <c r="P32" s="5"/>
    </row>
    <row r="33" spans="1:16" x14ac:dyDescent="0.35">
      <c r="A33" s="12"/>
      <c r="B33" s="12"/>
      <c r="C33" s="5"/>
      <c r="D33" s="5"/>
      <c r="E33" s="12"/>
      <c r="F33" s="12"/>
      <c r="G33" s="12"/>
      <c r="J33" s="12"/>
      <c r="K33" s="12"/>
      <c r="L33" s="12"/>
      <c r="M33" s="5"/>
      <c r="N33" s="13"/>
      <c r="O33" s="5"/>
      <c r="P33" s="5"/>
    </row>
    <row r="34" spans="1:16" x14ac:dyDescent="0.35">
      <c r="A34" s="12"/>
      <c r="B34" s="12"/>
      <c r="C34" s="5"/>
      <c r="D34" s="5"/>
      <c r="E34" s="12"/>
      <c r="F34" s="12"/>
      <c r="G34" s="12"/>
      <c r="J34" s="12"/>
      <c r="K34" s="12"/>
      <c r="L34" s="12"/>
      <c r="M34" s="5"/>
      <c r="N34" s="13"/>
      <c r="O34" s="5"/>
      <c r="P34" s="5"/>
    </row>
    <row r="35" spans="1:16" x14ac:dyDescent="0.35">
      <c r="A35" s="12"/>
      <c r="B35" s="12"/>
      <c r="C35" s="5"/>
      <c r="D35" s="5"/>
      <c r="E35" s="12"/>
      <c r="F35" s="12"/>
      <c r="G35" s="12"/>
      <c r="J35" s="12"/>
      <c r="K35" s="12"/>
      <c r="L35" s="12"/>
      <c r="M35" s="5"/>
      <c r="N35" s="13"/>
      <c r="O35" s="5"/>
      <c r="P35" s="5"/>
    </row>
    <row r="36" spans="1:16" x14ac:dyDescent="0.35">
      <c r="A36" s="12"/>
      <c r="B36" s="12"/>
      <c r="C36" s="5"/>
      <c r="D36" s="5"/>
      <c r="E36" s="12"/>
      <c r="F36" s="12"/>
      <c r="G36" s="12"/>
      <c r="J36" s="12"/>
      <c r="K36" s="12"/>
      <c r="L36" s="12"/>
      <c r="M36" s="5"/>
      <c r="N36" s="13"/>
      <c r="O36" s="5"/>
      <c r="P36" s="5"/>
    </row>
    <row r="37" spans="1:16" x14ac:dyDescent="0.35">
      <c r="A37" s="12"/>
      <c r="B37" s="12"/>
      <c r="C37" s="5"/>
      <c r="D37" s="5"/>
      <c r="E37" s="12"/>
      <c r="F37" s="12"/>
      <c r="G37" s="12"/>
      <c r="J37" s="12"/>
      <c r="K37" s="12"/>
      <c r="L37" s="12"/>
      <c r="M37" s="5"/>
      <c r="N37" s="13"/>
      <c r="O37" s="5"/>
      <c r="P37" s="5"/>
    </row>
    <row r="38" spans="1:16" x14ac:dyDescent="0.35">
      <c r="A38" s="12"/>
      <c r="B38" s="12"/>
      <c r="C38" s="5"/>
      <c r="D38" s="5"/>
      <c r="E38" s="12"/>
      <c r="F38" s="12"/>
      <c r="G38" s="12"/>
      <c r="J38" s="12"/>
      <c r="K38" s="12"/>
      <c r="L38" s="12"/>
      <c r="M38" s="5"/>
      <c r="N38" s="13"/>
      <c r="O38" s="5"/>
      <c r="P38" s="5"/>
    </row>
    <row r="39" spans="1:16" x14ac:dyDescent="0.35">
      <c r="A39" s="12"/>
      <c r="B39" s="12"/>
      <c r="C39" s="5"/>
      <c r="D39" s="5"/>
      <c r="E39" s="12"/>
      <c r="F39" s="12"/>
      <c r="G39" s="12"/>
      <c r="J39" s="12"/>
      <c r="K39" s="12"/>
      <c r="L39" s="12"/>
      <c r="M39" s="5"/>
      <c r="N39" s="13"/>
      <c r="O39" s="5"/>
      <c r="P39" s="5"/>
    </row>
    <row r="40" spans="1:16" x14ac:dyDescent="0.35">
      <c r="A40" s="12"/>
      <c r="B40" s="12"/>
      <c r="C40" s="5"/>
      <c r="D40" s="5"/>
      <c r="E40" s="12"/>
      <c r="F40" s="12"/>
      <c r="G40" s="12"/>
      <c r="J40" s="12"/>
      <c r="K40" s="12"/>
      <c r="L40" s="12"/>
      <c r="M40" s="5"/>
      <c r="N40" s="13"/>
      <c r="O40" s="5"/>
      <c r="P40" s="5"/>
    </row>
    <row r="41" spans="1:16" x14ac:dyDescent="0.35">
      <c r="A41" s="12"/>
      <c r="B41" s="12"/>
      <c r="C41" s="5"/>
      <c r="D41" s="5"/>
      <c r="E41" s="12"/>
      <c r="F41" s="12"/>
      <c r="G41" s="12"/>
      <c r="J41" s="12"/>
      <c r="K41" s="12"/>
      <c r="L41" s="12"/>
      <c r="M41" s="5"/>
      <c r="N41" s="13"/>
      <c r="O41" s="5"/>
      <c r="P41" s="5"/>
    </row>
    <row r="47" spans="1:16" x14ac:dyDescent="0.35">
      <c r="A47" s="26" t="s">
        <v>41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6" x14ac:dyDescent="0.35">
      <c r="A48" s="27" t="s">
        <v>42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50" spans="1:16" x14ac:dyDescent="0.35">
      <c r="A50" s="28" t="s">
        <v>43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</sheetData>
  <sheetProtection formatCells="0" formatColumns="0" formatRows="0" insertRows="0" deleteRows="0" sort="0" autoFilter="0"/>
  <mergeCells count="11">
    <mergeCell ref="A27:G27"/>
    <mergeCell ref="J27:P27"/>
    <mergeCell ref="A47:P47"/>
    <mergeCell ref="A48:P48"/>
    <mergeCell ref="A50:P50"/>
    <mergeCell ref="A1:P2"/>
    <mergeCell ref="A3:P3"/>
    <mergeCell ref="A5:H6"/>
    <mergeCell ref="J5:P6"/>
    <mergeCell ref="A8:D8"/>
    <mergeCell ref="F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V66"/>
  <sheetViews>
    <sheetView showGridLines="0" zoomScale="98" zoomScaleNormal="98" workbookViewId="0">
      <pane ySplit="8" topLeftCell="A9" activePane="bottomLeft" state="frozen"/>
      <selection pane="bottomLeft" activeCell="T29" sqref="T29"/>
    </sheetView>
  </sheetViews>
  <sheetFormatPr baseColWidth="10" defaultColWidth="8.7265625" defaultRowHeight="14.5" x14ac:dyDescent="0.35"/>
  <cols>
    <col min="1" max="1" width="12.7265625" customWidth="1"/>
    <col min="2" max="2" width="14.7265625" customWidth="1"/>
    <col min="3" max="6" width="18.7265625" customWidth="1"/>
    <col min="7" max="9" width="12.7265625" customWidth="1"/>
    <col min="10" max="10" width="14.7265625" customWidth="1"/>
    <col min="11" max="11" width="12.7265625" customWidth="1"/>
    <col min="12" max="13" width="16.7265625" customWidth="1"/>
    <col min="14" max="14" width="18.7265625" customWidth="1"/>
    <col min="15" max="15" width="16.7265625" customWidth="1"/>
    <col min="16" max="16" width="18.7265625" customWidth="1"/>
    <col min="17" max="17" width="16.08984375" bestFit="1" customWidth="1"/>
    <col min="18" max="18" width="16.08984375" style="42" customWidth="1"/>
    <col min="19" max="19" width="37" customWidth="1"/>
    <col min="20" max="20" width="28.6328125" customWidth="1"/>
    <col min="21" max="21" width="27.453125" customWidth="1"/>
    <col min="22" max="22" width="16.7265625" customWidth="1"/>
  </cols>
  <sheetData>
    <row r="1" spans="1:22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x14ac:dyDescent="0.35">
      <c r="A3" s="22" t="s">
        <v>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5" spans="1:22" x14ac:dyDescent="0.35">
      <c r="A5" s="23" t="s">
        <v>46</v>
      </c>
      <c r="B5" s="23"/>
      <c r="C5" s="23"/>
      <c r="D5" s="23"/>
      <c r="E5" s="23"/>
      <c r="F5" s="23"/>
      <c r="G5" s="23"/>
      <c r="H5" s="23"/>
      <c r="I5" s="23"/>
      <c r="J5" s="24" t="s">
        <v>47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x14ac:dyDescent="0.35">
      <c r="A6" s="23"/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8" spans="1:22" ht="29" x14ac:dyDescent="0.35">
      <c r="A8" s="9" t="s">
        <v>48</v>
      </c>
      <c r="B8" s="10" t="s">
        <v>49</v>
      </c>
      <c r="C8" s="11" t="s">
        <v>17</v>
      </c>
      <c r="D8" s="9" t="s">
        <v>32</v>
      </c>
      <c r="E8" s="10" t="s">
        <v>31</v>
      </c>
      <c r="F8" s="11" t="s">
        <v>18</v>
      </c>
      <c r="G8" s="9" t="s">
        <v>50</v>
      </c>
      <c r="H8" s="10" t="s">
        <v>51</v>
      </c>
      <c r="I8" s="11" t="s">
        <v>52</v>
      </c>
      <c r="J8" s="9" t="s">
        <v>53</v>
      </c>
      <c r="K8" s="10" t="s">
        <v>54</v>
      </c>
      <c r="L8" s="14" t="s">
        <v>55</v>
      </c>
      <c r="M8" s="11" t="s">
        <v>56</v>
      </c>
      <c r="N8" s="9" t="s">
        <v>57</v>
      </c>
      <c r="O8" s="10" t="s">
        <v>58</v>
      </c>
      <c r="P8" s="11" t="s">
        <v>59</v>
      </c>
      <c r="Q8" s="9" t="s">
        <v>90</v>
      </c>
      <c r="R8" s="41"/>
      <c r="T8" s="43" t="s">
        <v>63</v>
      </c>
      <c r="U8" s="41"/>
      <c r="V8" s="41"/>
    </row>
    <row r="9" spans="1:22" x14ac:dyDescent="0.35">
      <c r="A9" s="15" t="s">
        <v>60</v>
      </c>
      <c r="B9" s="16">
        <v>46266</v>
      </c>
      <c r="C9" s="12" t="s">
        <v>24</v>
      </c>
      <c r="D9" s="15" t="str">
        <f>IF(E9="","",IFERROR(VLOOKUP(E9,Paramétrage!$J$30:$P$41,2,FALSE),""))</f>
        <v>Client A</v>
      </c>
      <c r="E9" s="12" t="s">
        <v>37</v>
      </c>
      <c r="F9" s="15" t="str">
        <f>IF(C9="","",IFERROR(VLOOKUP(C9,Paramétrage!$A$30:$G$41,2,FALSE),""))</f>
        <v>Manager 1</v>
      </c>
      <c r="G9" s="3">
        <v>0.33333333333333331</v>
      </c>
      <c r="H9" s="3">
        <v>0.5</v>
      </c>
      <c r="I9" s="6">
        <v>30</v>
      </c>
      <c r="J9" s="17">
        <f>IF(OR(G9="",H9=""),"",H9-G9-IF(I9="",0,I9/1440))</f>
        <v>0.14583333333333334</v>
      </c>
      <c r="K9" s="13">
        <v>0</v>
      </c>
      <c r="L9" s="8" t="s">
        <v>61</v>
      </c>
      <c r="M9" s="18">
        <f>IF(OR(C9="",Q9=""),"",Q9*IFERROR(VLOOKUP(C9,Paramétrage!$A$30:$G$41,3,FALSE),0)*(1+Paramétrage!$G$12))</f>
        <v>84.7</v>
      </c>
      <c r="N9" s="18">
        <f>IF(OR(E9="",Q9=""),"",Q9*IFERROR(VLOOKUP(E9,Paramétrage!$J$30:$P$41,4,FALSE),Paramétrage!$G$10))</f>
        <v>297.5</v>
      </c>
      <c r="O9" s="18">
        <f>IF(OR(M9="",N9=""),"",N9-M9-IF(K9="",0,K9*IFERROR(VLOOKUP(E9,Paramétrage!$J$30:$P$41,4,FALSE),Paramétrage!$G$10)))</f>
        <v>212.8</v>
      </c>
      <c r="P9" s="15" t="str">
        <f>IF(E9="","",IF(O9&lt;0,"Rentabilité négative",IF(OR(N9&gt;VLOOKUP(E9,Paramétrage!$J$30:$P$41,6,FALSE)+VLOOKUP(E9,Paramétrage!$J$30:$P$41,7,FALSE),Q9&gt;VLOOKUP(E9,Paramétrage!$J$30:$P$41,5,FALSE)),"Avenant à prévoir","OK")))</f>
        <v>OK</v>
      </c>
      <c r="Q9" s="39">
        <f>IF(J9="","",J9*24)</f>
        <v>3.5</v>
      </c>
      <c r="R9" s="40"/>
    </row>
    <row r="10" spans="1:22" x14ac:dyDescent="0.35">
      <c r="A10" s="15" t="s">
        <v>62</v>
      </c>
      <c r="B10" s="16">
        <v>46267</v>
      </c>
      <c r="C10" s="12" t="s">
        <v>29</v>
      </c>
      <c r="D10" s="15" t="str">
        <f>IF(E10="","",IFERROR(VLOOKUP(E10,Paramétrage!$J$30:$P$41,2,FALSE),""))</f>
        <v>Client B</v>
      </c>
      <c r="E10" s="12" t="s">
        <v>39</v>
      </c>
      <c r="F10" s="15" t="str">
        <f>IF(C10="","",IFERROR(VLOOKUP(C10,Paramétrage!$A$30:$G$41,2,FALSE),""))</f>
        <v>Manager 1</v>
      </c>
      <c r="G10" s="3">
        <v>0.375</v>
      </c>
      <c r="H10" s="3">
        <v>0.70833333333333348</v>
      </c>
      <c r="I10" s="6">
        <v>60</v>
      </c>
      <c r="J10" s="17">
        <f t="shared" ref="J10:J58" si="0">IF(OR(G10="",H10=""),"",H10-G10-IF(I10="",0,I10/1440))</f>
        <v>0.2916666666666668</v>
      </c>
      <c r="K10" s="13">
        <v>0</v>
      </c>
      <c r="L10" s="8" t="s">
        <v>61</v>
      </c>
      <c r="M10" s="18">
        <f>IF(OR(C10="",Q10=""),"",Q10*IFERROR(VLOOKUP(C10,Paramétrage!$A$30:$G$41,3,FALSE),0)*(1+Paramétrage!$G$12))</f>
        <v>184.8000000000001</v>
      </c>
      <c r="N10" s="18">
        <f>IF(OR(E10="",Q10=""),"",Q10*IFERROR(VLOOKUP(E10,Paramétrage!$J$30:$P$41,4,FALSE),Paramétrage!$G$10))</f>
        <v>630.00000000000034</v>
      </c>
      <c r="O10" s="18">
        <f>IF(OR(M10="",N10=""),"",N10-M10-IF(K10="",0,K10*IFERROR(VLOOKUP(E10,Paramétrage!$J$30:$P$41,4,FALSE),Paramétrage!$G$10)))</f>
        <v>445.20000000000027</v>
      </c>
      <c r="P10" s="15" t="str">
        <f>IF(E10="","",IF(O10&lt;0,"Rentabilité négative",IF(OR(N10&gt;VLOOKUP(E10,Paramétrage!$J$30:$P$41,6,FALSE)+VLOOKUP(E10,Paramétrage!$J$30:$P$41,7,FALSE),Q10&gt;VLOOKUP(E10,Paramétrage!$J$30:$P$41,5,FALSE)),"Avenant à prévoir","OK")))</f>
        <v>OK</v>
      </c>
      <c r="Q10" s="39">
        <f t="shared" ref="Q10:Q58" si="1">IF(J10="","",J10*24)</f>
        <v>7.0000000000000036</v>
      </c>
      <c r="R10" s="40"/>
      <c r="S10" s="29" t="s">
        <v>64</v>
      </c>
      <c r="T10" s="29"/>
      <c r="U10" s="31" t="s">
        <v>65</v>
      </c>
      <c r="V10" s="31"/>
    </row>
    <row r="11" spans="1:22" ht="18.5" x14ac:dyDescent="0.45">
      <c r="A11" s="15" t="str">
        <f t="shared" ref="A11:A58" si="2">IF(OR(C11="",E11=""),"","FIN-"&amp;TEXT(ROW()-8,"000"))</f>
        <v/>
      </c>
      <c r="B11" s="16"/>
      <c r="C11" s="12"/>
      <c r="D11" s="15" t="str">
        <f>IF(E11="","",IFERROR(VLOOKUP(E11,Paramétrage!$J$30:$P$41,2,FALSE),""))</f>
        <v/>
      </c>
      <c r="E11" s="12"/>
      <c r="F11" s="15" t="str">
        <f>IF(C11="","",IFERROR(VLOOKUP(C11,Paramétrage!$A$30:$G$41,2,FALSE),""))</f>
        <v/>
      </c>
      <c r="G11" s="3"/>
      <c r="H11" s="3"/>
      <c r="I11" s="6"/>
      <c r="J11" s="17" t="str">
        <f t="shared" si="0"/>
        <v/>
      </c>
      <c r="K11" s="13"/>
      <c r="L11" s="8"/>
      <c r="M11" s="18" t="str">
        <f>IF(OR(C11="",Q11=""),"",Q11*IFERROR(VLOOKUP(C11,Paramétrage!$A$30:$G$41,3,FALSE),0)*(1+Paramétrage!$G$12))</f>
        <v/>
      </c>
      <c r="N11" s="18" t="str">
        <f>IF(OR(E11="",Q11=""),"",Q11*IFERROR(VLOOKUP(E11,Paramétrage!$J$30:$P$41,4,FALSE),Paramétrage!$G$10))</f>
        <v/>
      </c>
      <c r="O11" s="18" t="str">
        <f>IF(OR(M11="",N11=""),"",N11-M11-IF(K11="",0,K11*IFERROR(VLOOKUP(E11,Paramétrage!$J$30:$P$41,4,FALSE),Paramétrage!$G$10)))</f>
        <v/>
      </c>
      <c r="P11" s="15" t="str">
        <f>IF(E11="","",IF(O11&lt;0,"Rentabilité négative",IF(OR(N11&gt;VLOOKUP(E11,Paramétrage!$J$30:$P$41,6,FALSE)+VLOOKUP(E11,Paramétrage!$J$30:$P$41,7,FALSE),Q11&gt;VLOOKUP(E11,Paramétrage!$J$30:$P$41,5,FALSE)),"Avenant à prévoir","OK")))</f>
        <v/>
      </c>
      <c r="Q11" s="39" t="str">
        <f t="shared" si="1"/>
        <v/>
      </c>
      <c r="R11" s="40"/>
      <c r="S11" s="30">
        <f>COUNTIF(C9:C58,"&lt;&gt;")</f>
        <v>2</v>
      </c>
      <c r="T11" s="30"/>
      <c r="U11" s="47">
        <f>SUM(N9:N58)</f>
        <v>927.50000000000034</v>
      </c>
      <c r="V11" s="47"/>
    </row>
    <row r="12" spans="1:22" x14ac:dyDescent="0.35">
      <c r="A12" s="15" t="str">
        <f t="shared" si="2"/>
        <v/>
      </c>
      <c r="B12" s="16"/>
      <c r="C12" s="12"/>
      <c r="D12" s="15" t="str">
        <f>IF(E12="","",IFERROR(VLOOKUP(E12,Paramétrage!$J$30:$P$41,2,FALSE),""))</f>
        <v/>
      </c>
      <c r="E12" s="12"/>
      <c r="F12" s="15" t="str">
        <f>IF(C12="","",IFERROR(VLOOKUP(C12,Paramétrage!$A$30:$G$41,2,FALSE),""))</f>
        <v/>
      </c>
      <c r="G12" s="3"/>
      <c r="H12" s="3"/>
      <c r="I12" s="6"/>
      <c r="J12" s="17" t="str">
        <f t="shared" si="0"/>
        <v/>
      </c>
      <c r="K12" s="13"/>
      <c r="L12" s="8"/>
      <c r="M12" s="18" t="str">
        <f>IF(OR(C12="",Q12=""),"",Q12*IFERROR(VLOOKUP(C12,Paramétrage!$A$30:$G$41,3,FALSE),0)*(1+Paramétrage!$G$12))</f>
        <v/>
      </c>
      <c r="N12" s="18" t="str">
        <f>IF(OR(E12="",Q12=""),"",Q12*IFERROR(VLOOKUP(E12,Paramétrage!$J$30:$P$41,4,FALSE),Paramétrage!$G$10))</f>
        <v/>
      </c>
      <c r="O12" s="18" t="str">
        <f>IF(OR(M12="",N12=""),"",N12-M12-IF(K12="",0,K12*IFERROR(VLOOKUP(E12,Paramétrage!$J$30:$P$41,4,FALSE),Paramétrage!$G$10)))</f>
        <v/>
      </c>
      <c r="P12" s="15" t="str">
        <f>IF(E12="","",IF(O12&lt;0,"Rentabilité négative",IF(OR(N12&gt;VLOOKUP(E12,Paramétrage!$J$30:$P$41,6,FALSE)+VLOOKUP(E12,Paramétrage!$J$30:$P$41,7,FALSE),Q12&gt;VLOOKUP(E12,Paramétrage!$J$30:$P$41,5,FALSE)),"Avenant à prévoir","OK")))</f>
        <v/>
      </c>
      <c r="Q12" s="39" t="str">
        <f t="shared" si="1"/>
        <v/>
      </c>
      <c r="R12" s="40"/>
      <c r="S12" s="33" t="s">
        <v>66</v>
      </c>
      <c r="T12" s="33"/>
      <c r="U12" s="29" t="s">
        <v>67</v>
      </c>
      <c r="V12" s="29"/>
    </row>
    <row r="13" spans="1:22" ht="18.5" x14ac:dyDescent="0.45">
      <c r="A13" s="15" t="str">
        <f t="shared" si="2"/>
        <v/>
      </c>
      <c r="B13" s="16"/>
      <c r="C13" s="12"/>
      <c r="D13" s="15" t="str">
        <f>IF(E13="","",IFERROR(VLOOKUP(E13,Paramétrage!$J$30:$P$41,2,FALSE),""))</f>
        <v/>
      </c>
      <c r="E13" s="12"/>
      <c r="F13" s="15" t="str">
        <f>IF(C13="","",IFERROR(VLOOKUP(C13,Paramétrage!$A$30:$G$41,2,FALSE),""))</f>
        <v/>
      </c>
      <c r="G13" s="3"/>
      <c r="H13" s="3"/>
      <c r="I13" s="6"/>
      <c r="J13" s="17" t="str">
        <f t="shared" si="0"/>
        <v/>
      </c>
      <c r="K13" s="13"/>
      <c r="L13" s="8"/>
      <c r="M13" s="18" t="str">
        <f>IF(OR(C13="",Q13=""),"",Q13*IFERROR(VLOOKUP(C13,Paramétrage!$A$30:$G$41,3,FALSE),0)*(1+Paramétrage!$G$12))</f>
        <v/>
      </c>
      <c r="N13" s="18" t="str">
        <f>IF(OR(E13="",Q13=""),"",Q13*IFERROR(VLOOKUP(E13,Paramétrage!$J$30:$P$41,4,FALSE),Paramétrage!$G$10))</f>
        <v/>
      </c>
      <c r="O13" s="18" t="str">
        <f>IF(OR(M13="",N13=""),"",N13-M13-IF(K13="",0,K13*IFERROR(VLOOKUP(E13,Paramétrage!$J$30:$P$41,4,FALSE),Paramétrage!$G$10)))</f>
        <v/>
      </c>
      <c r="P13" s="15" t="str">
        <f>IF(E13="","",IF(O13&lt;0,"Rentabilité négative",IF(OR(N13&gt;VLOOKUP(E13,Paramétrage!$J$30:$P$41,6,FALSE)+VLOOKUP(E13,Paramétrage!$J$30:$P$41,7,FALSE),Q13&gt;VLOOKUP(E13,Paramétrage!$J$30:$P$41,5,FALSE)),"Avenant à prévoir","OK")))</f>
        <v/>
      </c>
      <c r="Q13" s="39" t="str">
        <f t="shared" si="1"/>
        <v/>
      </c>
      <c r="R13" s="40"/>
      <c r="S13" s="47">
        <f>SUM(M9:M58)</f>
        <v>269.50000000000011</v>
      </c>
      <c r="T13" s="47"/>
      <c r="U13" s="47">
        <f>SUM(O9:O58)</f>
        <v>658.00000000000023</v>
      </c>
      <c r="V13" s="47"/>
    </row>
    <row r="14" spans="1:22" x14ac:dyDescent="0.35">
      <c r="A14" s="15" t="str">
        <f t="shared" si="2"/>
        <v/>
      </c>
      <c r="B14" s="16"/>
      <c r="C14" s="12"/>
      <c r="D14" s="15" t="str">
        <f>IF(E14="","",IFERROR(VLOOKUP(E14,Paramétrage!$J$30:$P$41,2,FALSE),""))</f>
        <v/>
      </c>
      <c r="E14" s="12"/>
      <c r="F14" s="15" t="str">
        <f>IF(C14="","",IFERROR(VLOOKUP(C14,Paramétrage!$A$30:$G$41,2,FALSE),""))</f>
        <v/>
      </c>
      <c r="G14" s="3"/>
      <c r="H14" s="3"/>
      <c r="I14" s="6"/>
      <c r="J14" s="17" t="str">
        <f t="shared" si="0"/>
        <v/>
      </c>
      <c r="K14" s="13"/>
      <c r="L14" s="8"/>
      <c r="M14" s="18" t="str">
        <f>IF(OR(C14="",Q14=""),"",Q14*IFERROR(VLOOKUP(C14,Paramétrage!$A$30:$G$41,3,FALSE),0)*(1+Paramétrage!$G$12))</f>
        <v/>
      </c>
      <c r="N14" s="18" t="str">
        <f>IF(OR(E14="",Q14=""),"",Q14*IFERROR(VLOOKUP(E14,Paramétrage!$J$30:$P$41,4,FALSE),Paramétrage!$G$10))</f>
        <v/>
      </c>
      <c r="O14" s="18" t="str">
        <f>IF(OR(M14="",N14=""),"",N14-M14-IF(K14="",0,K14*IFERROR(VLOOKUP(E14,Paramétrage!$J$30:$P$41,4,FALSE),Paramétrage!$G$10)))</f>
        <v/>
      </c>
      <c r="P14" s="15" t="str">
        <f>IF(E14="","",IF(O14&lt;0,"Rentabilité négative",IF(OR(N14&gt;VLOOKUP(E14,Paramétrage!$J$30:$P$41,6,FALSE)+VLOOKUP(E14,Paramétrage!$J$30:$P$41,7,FALSE),Q14&gt;VLOOKUP(E14,Paramétrage!$J$30:$P$41,5,FALSE)),"Avenant à prévoir","OK")))</f>
        <v/>
      </c>
      <c r="Q14" s="39" t="str">
        <f t="shared" si="1"/>
        <v/>
      </c>
      <c r="R14" s="40"/>
      <c r="S14" s="31" t="s">
        <v>68</v>
      </c>
      <c r="T14" s="31"/>
      <c r="U14" s="33" t="s">
        <v>69</v>
      </c>
      <c r="V14" s="33"/>
    </row>
    <row r="15" spans="1:22" ht="18.5" x14ac:dyDescent="0.45">
      <c r="A15" s="15" t="str">
        <f t="shared" si="2"/>
        <v/>
      </c>
      <c r="B15" s="16"/>
      <c r="C15" s="12"/>
      <c r="D15" s="15" t="str">
        <f>IF(E15="","",IFERROR(VLOOKUP(E15,Paramétrage!$J$30:$P$41,2,FALSE),""))</f>
        <v/>
      </c>
      <c r="E15" s="12"/>
      <c r="F15" s="15" t="str">
        <f>IF(C15="","",IFERROR(VLOOKUP(C15,Paramétrage!$A$30:$G$41,2,FALSE),""))</f>
        <v/>
      </c>
      <c r="G15" s="3"/>
      <c r="H15" s="3"/>
      <c r="I15" s="6"/>
      <c r="J15" s="17" t="str">
        <f t="shared" si="0"/>
        <v/>
      </c>
      <c r="K15" s="13"/>
      <c r="L15" s="8"/>
      <c r="M15" s="18" t="str">
        <f>IF(OR(C15="",Q15=""),"",Q15*IFERROR(VLOOKUP(C15,Paramétrage!$A$30:$G$41,3,FALSE),0)*(1+Paramétrage!$G$12))</f>
        <v/>
      </c>
      <c r="N15" s="18" t="str">
        <f>IF(OR(E15="",Q15=""),"",Q15*IFERROR(VLOOKUP(E15,Paramétrage!$J$30:$P$41,4,FALSE),Paramétrage!$G$10))</f>
        <v/>
      </c>
      <c r="O15" s="18" t="str">
        <f>IF(OR(M15="",N15=""),"",N15-M15-IF(K15="",0,K15*IFERROR(VLOOKUP(E15,Paramétrage!$J$30:$P$41,4,FALSE),Paramétrage!$G$10)))</f>
        <v/>
      </c>
      <c r="P15" s="15" t="str">
        <f>IF(E15="","",IF(O15&lt;0,"Rentabilité négative",IF(OR(N15&gt;VLOOKUP(E15,Paramétrage!$J$30:$P$41,6,FALSE)+VLOOKUP(E15,Paramétrage!$J$30:$P$41,7,FALSE),Q15&gt;VLOOKUP(E15,Paramétrage!$J$30:$P$41,5,FALSE)),"Avenant à prévoir","OK")))</f>
        <v/>
      </c>
      <c r="Q15" s="39" t="str">
        <f t="shared" si="1"/>
        <v/>
      </c>
      <c r="R15" s="40"/>
      <c r="S15" s="30">
        <f>COUNTIF(P9:P58,"Avenant à prévoir")+COUNTIF(P9:P58,"Rentabilité négative")</f>
        <v>0</v>
      </c>
      <c r="T15" s="30"/>
      <c r="U15" s="34">
        <f>SUM(Q9:Q58)</f>
        <v>10.500000000000004</v>
      </c>
      <c r="V15" s="34"/>
    </row>
    <row r="16" spans="1:22" x14ac:dyDescent="0.35">
      <c r="A16" s="15" t="str">
        <f t="shared" si="2"/>
        <v/>
      </c>
      <c r="B16" s="16"/>
      <c r="C16" s="12"/>
      <c r="D16" s="15" t="str">
        <f>IF(E16="","",IFERROR(VLOOKUP(E16,Paramétrage!$J$30:$P$41,2,FALSE),""))</f>
        <v/>
      </c>
      <c r="E16" s="12"/>
      <c r="F16" s="15" t="str">
        <f>IF(C16="","",IFERROR(VLOOKUP(C16,Paramétrage!$A$30:$G$41,2,FALSE),""))</f>
        <v/>
      </c>
      <c r="G16" s="3"/>
      <c r="H16" s="3"/>
      <c r="I16" s="6"/>
      <c r="J16" s="17" t="str">
        <f t="shared" si="0"/>
        <v/>
      </c>
      <c r="K16" s="13"/>
      <c r="L16" s="8"/>
      <c r="M16" s="18" t="str">
        <f>IF(OR(C16="",Q16=""),"",Q16*IFERROR(VLOOKUP(C16,Paramétrage!$A$30:$G$41,3,FALSE),0)*(1+Paramétrage!$G$12))</f>
        <v/>
      </c>
      <c r="N16" s="18" t="str">
        <f>IF(OR(E16="",Q16=""),"",Q16*IFERROR(VLOOKUP(E16,Paramétrage!$J$30:$P$41,4,FALSE),Paramétrage!$G$10))</f>
        <v/>
      </c>
      <c r="O16" s="18" t="str">
        <f>IF(OR(M16="",N16=""),"",N16-M16-IF(K16="",0,K16*IFERROR(VLOOKUP(E16,Paramétrage!$J$30:$P$41,4,FALSE),Paramétrage!$G$10)))</f>
        <v/>
      </c>
      <c r="P16" s="15" t="str">
        <f>IF(E16="","",IF(O16&lt;0,"Rentabilité négative",IF(OR(N16&gt;VLOOKUP(E16,Paramétrage!$J$30:$P$41,6,FALSE)+VLOOKUP(E16,Paramétrage!$J$30:$P$41,7,FALSE),Q16&gt;VLOOKUP(E16,Paramétrage!$J$30:$P$41,5,FALSE)),"Avenant à prévoir","OK")))</f>
        <v/>
      </c>
      <c r="Q16" s="39" t="str">
        <f t="shared" si="1"/>
        <v/>
      </c>
      <c r="R16" s="40"/>
    </row>
    <row r="17" spans="1:18" x14ac:dyDescent="0.35">
      <c r="A17" s="15" t="str">
        <f t="shared" si="2"/>
        <v/>
      </c>
      <c r="B17" s="16"/>
      <c r="C17" s="12"/>
      <c r="D17" s="15" t="str">
        <f>IF(E17="","",IFERROR(VLOOKUP(E17,Paramétrage!$J$30:$P$41,2,FALSE),""))</f>
        <v/>
      </c>
      <c r="E17" s="12"/>
      <c r="F17" s="15" t="str">
        <f>IF(C17="","",IFERROR(VLOOKUP(C17,Paramétrage!$A$30:$G$41,2,FALSE),""))</f>
        <v/>
      </c>
      <c r="G17" s="3"/>
      <c r="H17" s="3"/>
      <c r="I17" s="6"/>
      <c r="J17" s="17" t="str">
        <f t="shared" si="0"/>
        <v/>
      </c>
      <c r="K17" s="13"/>
      <c r="L17" s="8"/>
      <c r="M17" s="18" t="str">
        <f>IF(OR(C17="",Q17=""),"",Q17*IFERROR(VLOOKUP(C17,Paramétrage!$A$30:$G$41,3,FALSE),0)*(1+Paramétrage!$G$12))</f>
        <v/>
      </c>
      <c r="N17" s="18" t="str">
        <f>IF(OR(E17="",Q17=""),"",Q17*IFERROR(VLOOKUP(E17,Paramétrage!$J$30:$P$41,4,FALSE),Paramétrage!$G$10))</f>
        <v/>
      </c>
      <c r="O17" s="18" t="str">
        <f>IF(OR(M17="",N17=""),"",N17-M17-IF(K17="",0,K17*IFERROR(VLOOKUP(E17,Paramétrage!$J$30:$P$41,4,FALSE),Paramétrage!$G$10)))</f>
        <v/>
      </c>
      <c r="P17" s="15" t="str">
        <f>IF(E17="","",IF(O17&lt;0,"Rentabilité négative",IF(OR(N17&gt;VLOOKUP(E17,Paramétrage!$J$30:$P$41,6,FALSE)+VLOOKUP(E17,Paramétrage!$J$30:$P$41,7,FALSE),Q17&gt;VLOOKUP(E17,Paramétrage!$J$30:$P$41,5,FALSE)),"Avenant à prévoir","OK")))</f>
        <v/>
      </c>
      <c r="Q17" s="39" t="str">
        <f t="shared" si="1"/>
        <v/>
      </c>
      <c r="R17" s="40"/>
    </row>
    <row r="18" spans="1:18" x14ac:dyDescent="0.35">
      <c r="A18" s="15" t="str">
        <f t="shared" si="2"/>
        <v/>
      </c>
      <c r="B18" s="16"/>
      <c r="C18" s="12"/>
      <c r="D18" s="15" t="str">
        <f>IF(E18="","",IFERROR(VLOOKUP(E18,Paramétrage!$J$30:$P$41,2,FALSE),""))</f>
        <v/>
      </c>
      <c r="E18" s="12"/>
      <c r="F18" s="15" t="str">
        <f>IF(C18="","",IFERROR(VLOOKUP(C18,Paramétrage!$A$30:$G$41,2,FALSE),""))</f>
        <v/>
      </c>
      <c r="G18" s="3"/>
      <c r="H18" s="3"/>
      <c r="I18" s="6"/>
      <c r="J18" s="17" t="str">
        <f t="shared" si="0"/>
        <v/>
      </c>
      <c r="K18" s="13"/>
      <c r="L18" s="8"/>
      <c r="M18" s="18" t="str">
        <f>IF(OR(C18="",Q18=""),"",Q18*IFERROR(VLOOKUP(C18,Paramétrage!$A$30:$G$41,3,FALSE),0)*(1+Paramétrage!$G$12))</f>
        <v/>
      </c>
      <c r="N18" s="18" t="str">
        <f>IF(OR(E18="",Q18=""),"",Q18*IFERROR(VLOOKUP(E18,Paramétrage!$J$30:$P$41,4,FALSE),Paramétrage!$G$10))</f>
        <v/>
      </c>
      <c r="O18" s="18" t="str">
        <f>IF(OR(M18="",N18=""),"",N18-M18-IF(K18="",0,K18*IFERROR(VLOOKUP(E18,Paramétrage!$J$30:$P$41,4,FALSE),Paramétrage!$G$10)))</f>
        <v/>
      </c>
      <c r="P18" s="15" t="str">
        <f>IF(E18="","",IF(O18&lt;0,"Rentabilité négative",IF(OR(N18&gt;VLOOKUP(E18,Paramétrage!$J$30:$P$41,6,FALSE)+VLOOKUP(E18,Paramétrage!$J$30:$P$41,7,FALSE),Q18&gt;VLOOKUP(E18,Paramétrage!$J$30:$P$41,5,FALSE)),"Avenant à prévoir","OK")))</f>
        <v/>
      </c>
      <c r="Q18" s="39" t="str">
        <f t="shared" si="1"/>
        <v/>
      </c>
      <c r="R18" s="40"/>
    </row>
    <row r="19" spans="1:18" x14ac:dyDescent="0.35">
      <c r="A19" s="15" t="str">
        <f t="shared" si="2"/>
        <v/>
      </c>
      <c r="B19" s="16"/>
      <c r="C19" s="12"/>
      <c r="D19" s="15" t="str">
        <f>IF(E19="","",IFERROR(VLOOKUP(E19,Paramétrage!$J$30:$P$41,2,FALSE),""))</f>
        <v/>
      </c>
      <c r="E19" s="12"/>
      <c r="F19" s="15" t="str">
        <f>IF(C19="","",IFERROR(VLOOKUP(C19,Paramétrage!$A$30:$G$41,2,FALSE),""))</f>
        <v/>
      </c>
      <c r="G19" s="3"/>
      <c r="H19" s="3"/>
      <c r="I19" s="6"/>
      <c r="J19" s="17" t="str">
        <f t="shared" si="0"/>
        <v/>
      </c>
      <c r="K19" s="13"/>
      <c r="L19" s="8"/>
      <c r="M19" s="18" t="str">
        <f>IF(OR(C19="",Q19=""),"",Q19*IFERROR(VLOOKUP(C19,Paramétrage!$A$30:$G$41,3,FALSE),0)*(1+Paramétrage!$G$12))</f>
        <v/>
      </c>
      <c r="N19" s="18" t="str">
        <f>IF(OR(E19="",Q19=""),"",Q19*IFERROR(VLOOKUP(E19,Paramétrage!$J$30:$P$41,4,FALSE),Paramétrage!$G$10))</f>
        <v/>
      </c>
      <c r="O19" s="18" t="str">
        <f>IF(OR(M19="",N19=""),"",N19-M19-IF(K19="",0,K19*IFERROR(VLOOKUP(E19,Paramétrage!$J$30:$P$41,4,FALSE),Paramétrage!$G$10)))</f>
        <v/>
      </c>
      <c r="P19" s="15" t="str">
        <f>IF(E19="","",IF(O19&lt;0,"Rentabilité négative",IF(OR(N19&gt;VLOOKUP(E19,Paramétrage!$J$30:$P$41,6,FALSE)+VLOOKUP(E19,Paramétrage!$J$30:$P$41,7,FALSE),Q19&gt;VLOOKUP(E19,Paramétrage!$J$30:$P$41,5,FALSE)),"Avenant à prévoir","OK")))</f>
        <v/>
      </c>
      <c r="Q19" s="39" t="str">
        <f t="shared" si="1"/>
        <v/>
      </c>
      <c r="R19" s="40"/>
    </row>
    <row r="20" spans="1:18" x14ac:dyDescent="0.35">
      <c r="A20" s="15" t="str">
        <f t="shared" si="2"/>
        <v/>
      </c>
      <c r="B20" s="16"/>
      <c r="C20" s="12"/>
      <c r="D20" s="15" t="str">
        <f>IF(E20="","",IFERROR(VLOOKUP(E20,Paramétrage!$J$30:$P$41,2,FALSE),""))</f>
        <v/>
      </c>
      <c r="E20" s="12"/>
      <c r="F20" s="15" t="str">
        <f>IF(C20="","",IFERROR(VLOOKUP(C20,Paramétrage!$A$30:$G$41,2,FALSE),""))</f>
        <v/>
      </c>
      <c r="G20" s="3"/>
      <c r="H20" s="3"/>
      <c r="I20" s="6"/>
      <c r="J20" s="17" t="str">
        <f t="shared" si="0"/>
        <v/>
      </c>
      <c r="K20" s="13"/>
      <c r="L20" s="8"/>
      <c r="M20" s="18" t="str">
        <f>IF(OR(C20="",Q20=""),"",Q20*IFERROR(VLOOKUP(C20,Paramétrage!$A$30:$G$41,3,FALSE),0)*(1+Paramétrage!$G$12))</f>
        <v/>
      </c>
      <c r="N20" s="18" t="str">
        <f>IF(OR(E20="",Q20=""),"",Q20*IFERROR(VLOOKUP(E20,Paramétrage!$J$30:$P$41,4,FALSE),Paramétrage!$G$10))</f>
        <v/>
      </c>
      <c r="O20" s="18" t="str">
        <f>IF(OR(M20="",N20=""),"",N20-M20-IF(K20="",0,K20*IFERROR(VLOOKUP(E20,Paramétrage!$J$30:$P$41,4,FALSE),Paramétrage!$G$10)))</f>
        <v/>
      </c>
      <c r="P20" s="15" t="str">
        <f>IF(E20="","",IF(O20&lt;0,"Rentabilité négative",IF(OR(N20&gt;VLOOKUP(E20,Paramétrage!$J$30:$P$41,6,FALSE)+VLOOKUP(E20,Paramétrage!$J$30:$P$41,7,FALSE),Q20&gt;VLOOKUP(E20,Paramétrage!$J$30:$P$41,5,FALSE)),"Avenant à prévoir","OK")))</f>
        <v/>
      </c>
      <c r="Q20" s="39" t="str">
        <f t="shared" si="1"/>
        <v/>
      </c>
      <c r="R20" s="40"/>
    </row>
    <row r="21" spans="1:18" x14ac:dyDescent="0.35">
      <c r="A21" s="15" t="str">
        <f t="shared" si="2"/>
        <v/>
      </c>
      <c r="B21" s="16"/>
      <c r="C21" s="12"/>
      <c r="D21" s="15" t="str">
        <f>IF(E21="","",IFERROR(VLOOKUP(E21,Paramétrage!$J$30:$P$41,2,FALSE),""))</f>
        <v/>
      </c>
      <c r="E21" s="12"/>
      <c r="F21" s="15" t="str">
        <f>IF(C21="","",IFERROR(VLOOKUP(C21,Paramétrage!$A$30:$G$41,2,FALSE),""))</f>
        <v/>
      </c>
      <c r="G21" s="3"/>
      <c r="H21" s="3"/>
      <c r="I21" s="6"/>
      <c r="J21" s="17" t="str">
        <f t="shared" si="0"/>
        <v/>
      </c>
      <c r="K21" s="13"/>
      <c r="L21" s="8"/>
      <c r="M21" s="18" t="str">
        <f>IF(OR(C21="",Q21=""),"",Q21*IFERROR(VLOOKUP(C21,Paramétrage!$A$30:$G$41,3,FALSE),0)*(1+Paramétrage!$G$12))</f>
        <v/>
      </c>
      <c r="N21" s="18" t="str">
        <f>IF(OR(E21="",Q21=""),"",Q21*IFERROR(VLOOKUP(E21,Paramétrage!$J$30:$P$41,4,FALSE),Paramétrage!$G$10))</f>
        <v/>
      </c>
      <c r="O21" s="18" t="str">
        <f>IF(OR(M21="",N21=""),"",N21-M21-IF(K21="",0,K21*IFERROR(VLOOKUP(E21,Paramétrage!$J$30:$P$41,4,FALSE),Paramétrage!$G$10)))</f>
        <v/>
      </c>
      <c r="P21" s="15" t="str">
        <f>IF(E21="","",IF(O21&lt;0,"Rentabilité négative",IF(OR(N21&gt;VLOOKUP(E21,Paramétrage!$J$30:$P$41,6,FALSE)+VLOOKUP(E21,Paramétrage!$J$30:$P$41,7,FALSE),Q21&gt;VLOOKUP(E21,Paramétrage!$J$30:$P$41,5,FALSE)),"Avenant à prévoir","OK")))</f>
        <v/>
      </c>
      <c r="Q21" s="39" t="str">
        <f t="shared" si="1"/>
        <v/>
      </c>
      <c r="R21" s="40"/>
    </row>
    <row r="22" spans="1:18" x14ac:dyDescent="0.35">
      <c r="A22" s="15" t="str">
        <f t="shared" si="2"/>
        <v/>
      </c>
      <c r="B22" s="16"/>
      <c r="C22" s="12"/>
      <c r="D22" s="15" t="str">
        <f>IF(E22="","",IFERROR(VLOOKUP(E22,Paramétrage!$J$30:$P$41,2,FALSE),""))</f>
        <v/>
      </c>
      <c r="E22" s="12"/>
      <c r="F22" s="15" t="str">
        <f>IF(C22="","",IFERROR(VLOOKUP(C22,Paramétrage!$A$30:$G$41,2,FALSE),""))</f>
        <v/>
      </c>
      <c r="G22" s="3"/>
      <c r="H22" s="3"/>
      <c r="I22" s="6"/>
      <c r="J22" s="17" t="str">
        <f t="shared" si="0"/>
        <v/>
      </c>
      <c r="K22" s="13"/>
      <c r="L22" s="8"/>
      <c r="M22" s="18" t="str">
        <f>IF(OR(C22="",Q22=""),"",Q22*IFERROR(VLOOKUP(C22,Paramétrage!$A$30:$G$41,3,FALSE),0)*(1+Paramétrage!$G$12))</f>
        <v/>
      </c>
      <c r="N22" s="18" t="str">
        <f>IF(OR(E22="",Q22=""),"",Q22*IFERROR(VLOOKUP(E22,Paramétrage!$J$30:$P$41,4,FALSE),Paramétrage!$G$10))</f>
        <v/>
      </c>
      <c r="O22" s="18" t="str">
        <f>IF(OR(M22="",N22=""),"",N22-M22-IF(K22="",0,K22*IFERROR(VLOOKUP(E22,Paramétrage!$J$30:$P$41,4,FALSE),Paramétrage!$G$10)))</f>
        <v/>
      </c>
      <c r="P22" s="15" t="str">
        <f>IF(E22="","",IF(O22&lt;0,"Rentabilité négative",IF(OR(N22&gt;VLOOKUP(E22,Paramétrage!$J$30:$P$41,6,FALSE)+VLOOKUP(E22,Paramétrage!$J$30:$P$41,7,FALSE),Q22&gt;VLOOKUP(E22,Paramétrage!$J$30:$P$41,5,FALSE)),"Avenant à prévoir","OK")))</f>
        <v/>
      </c>
      <c r="Q22" s="39" t="str">
        <f t="shared" si="1"/>
        <v/>
      </c>
      <c r="R22" s="40"/>
    </row>
    <row r="23" spans="1:18" x14ac:dyDescent="0.35">
      <c r="A23" s="15" t="str">
        <f t="shared" si="2"/>
        <v/>
      </c>
      <c r="B23" s="16"/>
      <c r="C23" s="12"/>
      <c r="D23" s="15" t="str">
        <f>IF(E23="","",IFERROR(VLOOKUP(E23,Paramétrage!$J$30:$P$41,2,FALSE),""))</f>
        <v/>
      </c>
      <c r="E23" s="12"/>
      <c r="F23" s="15" t="str">
        <f>IF(C23="","",IFERROR(VLOOKUP(C23,Paramétrage!$A$30:$G$41,2,FALSE),""))</f>
        <v/>
      </c>
      <c r="G23" s="3"/>
      <c r="H23" s="3"/>
      <c r="I23" s="6"/>
      <c r="J23" s="17" t="str">
        <f t="shared" si="0"/>
        <v/>
      </c>
      <c r="K23" s="13"/>
      <c r="L23" s="8"/>
      <c r="M23" s="18" t="str">
        <f>IF(OR(C23="",Q23=""),"",Q23*IFERROR(VLOOKUP(C23,Paramétrage!$A$30:$G$41,3,FALSE),0)*(1+Paramétrage!$G$12))</f>
        <v/>
      </c>
      <c r="N23" s="18" t="str">
        <f>IF(OR(E23="",Q23=""),"",Q23*IFERROR(VLOOKUP(E23,Paramétrage!$J$30:$P$41,4,FALSE),Paramétrage!$G$10))</f>
        <v/>
      </c>
      <c r="O23" s="18" t="str">
        <f>IF(OR(M23="",N23=""),"",N23-M23-IF(K23="",0,K23*IFERROR(VLOOKUP(E23,Paramétrage!$J$30:$P$41,4,FALSE),Paramétrage!$G$10)))</f>
        <v/>
      </c>
      <c r="P23" s="15" t="str">
        <f>IF(E23="","",IF(O23&lt;0,"Rentabilité négative",IF(OR(N23&gt;VLOOKUP(E23,Paramétrage!$J$30:$P$41,6,FALSE)+VLOOKUP(E23,Paramétrage!$J$30:$P$41,7,FALSE),Q23&gt;VLOOKUP(E23,Paramétrage!$J$30:$P$41,5,FALSE)),"Avenant à prévoir","OK")))</f>
        <v/>
      </c>
      <c r="Q23" s="39" t="str">
        <f t="shared" si="1"/>
        <v/>
      </c>
      <c r="R23" s="40"/>
    </row>
    <row r="24" spans="1:18" x14ac:dyDescent="0.35">
      <c r="A24" s="15" t="str">
        <f t="shared" si="2"/>
        <v/>
      </c>
      <c r="B24" s="16"/>
      <c r="C24" s="12"/>
      <c r="D24" s="15" t="str">
        <f>IF(E24="","",IFERROR(VLOOKUP(E24,Paramétrage!$J$30:$P$41,2,FALSE),""))</f>
        <v/>
      </c>
      <c r="E24" s="12"/>
      <c r="F24" s="15" t="str">
        <f>IF(C24="","",IFERROR(VLOOKUP(C24,Paramétrage!$A$30:$G$41,2,FALSE),""))</f>
        <v/>
      </c>
      <c r="G24" s="3"/>
      <c r="H24" s="3"/>
      <c r="I24" s="6"/>
      <c r="J24" s="17" t="str">
        <f t="shared" si="0"/>
        <v/>
      </c>
      <c r="K24" s="13"/>
      <c r="L24" s="8"/>
      <c r="M24" s="18" t="str">
        <f>IF(OR(C24="",Q24=""),"",Q24*IFERROR(VLOOKUP(C24,Paramétrage!$A$30:$G$41,3,FALSE),0)*(1+Paramétrage!$G$12))</f>
        <v/>
      </c>
      <c r="N24" s="18" t="str">
        <f>IF(OR(E24="",Q24=""),"",Q24*IFERROR(VLOOKUP(E24,Paramétrage!$J$30:$P$41,4,FALSE),Paramétrage!$G$10))</f>
        <v/>
      </c>
      <c r="O24" s="18" t="str">
        <f>IF(OR(M24="",N24=""),"",N24-M24-IF(K24="",0,K24*IFERROR(VLOOKUP(E24,Paramétrage!$J$30:$P$41,4,FALSE),Paramétrage!$G$10)))</f>
        <v/>
      </c>
      <c r="P24" s="15" t="str">
        <f>IF(E24="","",IF(O24&lt;0,"Rentabilité négative",IF(OR(N24&gt;VLOOKUP(E24,Paramétrage!$J$30:$P$41,6,FALSE)+VLOOKUP(E24,Paramétrage!$J$30:$P$41,7,FALSE),Q24&gt;VLOOKUP(E24,Paramétrage!$J$30:$P$41,5,FALSE)),"Avenant à prévoir","OK")))</f>
        <v/>
      </c>
      <c r="Q24" s="39" t="str">
        <f t="shared" si="1"/>
        <v/>
      </c>
      <c r="R24" s="40"/>
    </row>
    <row r="25" spans="1:18" x14ac:dyDescent="0.35">
      <c r="A25" s="15" t="str">
        <f t="shared" si="2"/>
        <v/>
      </c>
      <c r="B25" s="16"/>
      <c r="C25" s="12"/>
      <c r="D25" s="15" t="str">
        <f>IF(E25="","",IFERROR(VLOOKUP(E25,Paramétrage!$J$30:$P$41,2,FALSE),""))</f>
        <v/>
      </c>
      <c r="E25" s="12"/>
      <c r="F25" s="15" t="str">
        <f>IF(C25="","",IFERROR(VLOOKUP(C25,Paramétrage!$A$30:$G$41,2,FALSE),""))</f>
        <v/>
      </c>
      <c r="G25" s="3"/>
      <c r="H25" s="3"/>
      <c r="I25" s="6"/>
      <c r="J25" s="17" t="str">
        <f t="shared" si="0"/>
        <v/>
      </c>
      <c r="K25" s="13"/>
      <c r="L25" s="8"/>
      <c r="M25" s="18" t="str">
        <f>IF(OR(C25="",Q25=""),"",Q25*IFERROR(VLOOKUP(C25,Paramétrage!$A$30:$G$41,3,FALSE),0)*(1+Paramétrage!$G$12))</f>
        <v/>
      </c>
      <c r="N25" s="18" t="str">
        <f>IF(OR(E25="",Q25=""),"",Q25*IFERROR(VLOOKUP(E25,Paramétrage!$J$30:$P$41,4,FALSE),Paramétrage!$G$10))</f>
        <v/>
      </c>
      <c r="O25" s="18" t="str">
        <f>IF(OR(M25="",N25=""),"",N25-M25-IF(K25="",0,K25*IFERROR(VLOOKUP(E25,Paramétrage!$J$30:$P$41,4,FALSE),Paramétrage!$G$10)))</f>
        <v/>
      </c>
      <c r="P25" s="15" t="str">
        <f>IF(E25="","",IF(O25&lt;0,"Rentabilité négative",IF(OR(N25&gt;VLOOKUP(E25,Paramétrage!$J$30:$P$41,6,FALSE)+VLOOKUP(E25,Paramétrage!$J$30:$P$41,7,FALSE),Q25&gt;VLOOKUP(E25,Paramétrage!$J$30:$P$41,5,FALSE)),"Avenant à prévoir","OK")))</f>
        <v/>
      </c>
      <c r="Q25" s="39" t="str">
        <f t="shared" si="1"/>
        <v/>
      </c>
      <c r="R25" s="40"/>
    </row>
    <row r="26" spans="1:18" x14ac:dyDescent="0.35">
      <c r="A26" s="15" t="str">
        <f t="shared" si="2"/>
        <v/>
      </c>
      <c r="B26" s="16"/>
      <c r="C26" s="12"/>
      <c r="D26" s="15" t="str">
        <f>IF(E26="","",IFERROR(VLOOKUP(E26,Paramétrage!$J$30:$P$41,2,FALSE),""))</f>
        <v/>
      </c>
      <c r="E26" s="12"/>
      <c r="F26" s="15" t="str">
        <f>IF(C26="","",IFERROR(VLOOKUP(C26,Paramétrage!$A$30:$G$41,2,FALSE),""))</f>
        <v/>
      </c>
      <c r="G26" s="3"/>
      <c r="H26" s="3"/>
      <c r="I26" s="6"/>
      <c r="J26" s="17" t="str">
        <f t="shared" si="0"/>
        <v/>
      </c>
      <c r="K26" s="13"/>
      <c r="L26" s="8"/>
      <c r="M26" s="18" t="str">
        <f>IF(OR(C26="",Q26=""),"",Q26*IFERROR(VLOOKUP(C26,Paramétrage!$A$30:$G$41,3,FALSE),0)*(1+Paramétrage!$G$12))</f>
        <v/>
      </c>
      <c r="N26" s="18" t="str">
        <f>IF(OR(E26="",Q26=""),"",Q26*IFERROR(VLOOKUP(E26,Paramétrage!$J$30:$P$41,4,FALSE),Paramétrage!$G$10))</f>
        <v/>
      </c>
      <c r="O26" s="18" t="str">
        <f>IF(OR(M26="",N26=""),"",N26-M26-IF(K26="",0,K26*IFERROR(VLOOKUP(E26,Paramétrage!$J$30:$P$41,4,FALSE),Paramétrage!$G$10)))</f>
        <v/>
      </c>
      <c r="P26" s="15" t="str">
        <f>IF(E26="","",IF(O26&lt;0,"Rentabilité négative",IF(OR(N26&gt;VLOOKUP(E26,Paramétrage!$J$30:$P$41,6,FALSE)+VLOOKUP(E26,Paramétrage!$J$30:$P$41,7,FALSE),Q26&gt;VLOOKUP(E26,Paramétrage!$J$30:$P$41,5,FALSE)),"Avenant à prévoir","OK")))</f>
        <v/>
      </c>
      <c r="Q26" s="39" t="str">
        <f t="shared" si="1"/>
        <v/>
      </c>
      <c r="R26" s="40"/>
    </row>
    <row r="27" spans="1:18" x14ac:dyDescent="0.35">
      <c r="A27" s="15" t="str">
        <f t="shared" si="2"/>
        <v/>
      </c>
      <c r="B27" s="16"/>
      <c r="C27" s="12"/>
      <c r="D27" s="15" t="str">
        <f>IF(E27="","",IFERROR(VLOOKUP(E27,Paramétrage!$J$30:$P$41,2,FALSE),""))</f>
        <v/>
      </c>
      <c r="E27" s="12"/>
      <c r="F27" s="15" t="str">
        <f>IF(C27="","",IFERROR(VLOOKUP(C27,Paramétrage!$A$30:$G$41,2,FALSE),""))</f>
        <v/>
      </c>
      <c r="G27" s="3"/>
      <c r="H27" s="3"/>
      <c r="I27" s="6"/>
      <c r="J27" s="17" t="str">
        <f t="shared" si="0"/>
        <v/>
      </c>
      <c r="K27" s="13"/>
      <c r="L27" s="8"/>
      <c r="M27" s="18" t="str">
        <f>IF(OR(C27="",Q27=""),"",Q27*IFERROR(VLOOKUP(C27,Paramétrage!$A$30:$G$41,3,FALSE),0)*(1+Paramétrage!$G$12))</f>
        <v/>
      </c>
      <c r="N27" s="18" t="str">
        <f>IF(OR(E27="",Q27=""),"",Q27*IFERROR(VLOOKUP(E27,Paramétrage!$J$30:$P$41,4,FALSE),Paramétrage!$G$10))</f>
        <v/>
      </c>
      <c r="O27" s="18" t="str">
        <f>IF(OR(M27="",N27=""),"",N27-M27-IF(K27="",0,K27*IFERROR(VLOOKUP(E27,Paramétrage!$J$30:$P$41,4,FALSE),Paramétrage!$G$10)))</f>
        <v/>
      </c>
      <c r="P27" s="15" t="str">
        <f>IF(E27="","",IF(O27&lt;0,"Rentabilité négative",IF(OR(N27&gt;VLOOKUP(E27,Paramétrage!$J$30:$P$41,6,FALSE)+VLOOKUP(E27,Paramétrage!$J$30:$P$41,7,FALSE),Q27&gt;VLOOKUP(E27,Paramétrage!$J$30:$P$41,5,FALSE)),"Avenant à prévoir","OK")))</f>
        <v/>
      </c>
      <c r="Q27" s="39" t="str">
        <f t="shared" si="1"/>
        <v/>
      </c>
      <c r="R27" s="40"/>
    </row>
    <row r="28" spans="1:18" x14ac:dyDescent="0.35">
      <c r="A28" s="15" t="str">
        <f t="shared" si="2"/>
        <v/>
      </c>
      <c r="B28" s="16"/>
      <c r="C28" s="12"/>
      <c r="D28" s="15" t="str">
        <f>IF(E28="","",IFERROR(VLOOKUP(E28,Paramétrage!$J$30:$P$41,2,FALSE),""))</f>
        <v/>
      </c>
      <c r="E28" s="12"/>
      <c r="F28" s="15" t="str">
        <f>IF(C28="","",IFERROR(VLOOKUP(C28,Paramétrage!$A$30:$G$41,2,FALSE),""))</f>
        <v/>
      </c>
      <c r="G28" s="3"/>
      <c r="H28" s="3"/>
      <c r="I28" s="6"/>
      <c r="J28" s="17" t="str">
        <f t="shared" si="0"/>
        <v/>
      </c>
      <c r="K28" s="13"/>
      <c r="L28" s="8"/>
      <c r="M28" s="18" t="str">
        <f>IF(OR(C28="",Q28=""),"",Q28*IFERROR(VLOOKUP(C28,Paramétrage!$A$30:$G$41,3,FALSE),0)*(1+Paramétrage!$G$12))</f>
        <v/>
      </c>
      <c r="N28" s="18" t="str">
        <f>IF(OR(E28="",Q28=""),"",Q28*IFERROR(VLOOKUP(E28,Paramétrage!$J$30:$P$41,4,FALSE),Paramétrage!$G$10))</f>
        <v/>
      </c>
      <c r="O28" s="18" t="str">
        <f>IF(OR(M28="",N28=""),"",N28-M28-IF(K28="",0,K28*IFERROR(VLOOKUP(E28,Paramétrage!$J$30:$P$41,4,FALSE),Paramétrage!$G$10)))</f>
        <v/>
      </c>
      <c r="P28" s="15" t="str">
        <f>IF(E28="","",IF(O28&lt;0,"Rentabilité négative",IF(OR(N28&gt;VLOOKUP(E28,Paramétrage!$J$30:$P$41,6,FALSE)+VLOOKUP(E28,Paramétrage!$J$30:$P$41,7,FALSE),Q28&gt;VLOOKUP(E28,Paramétrage!$J$30:$P$41,5,FALSE)),"Avenant à prévoir","OK")))</f>
        <v/>
      </c>
      <c r="Q28" s="39" t="str">
        <f t="shared" si="1"/>
        <v/>
      </c>
      <c r="R28" s="40"/>
    </row>
    <row r="29" spans="1:18" x14ac:dyDescent="0.35">
      <c r="A29" s="15" t="str">
        <f t="shared" si="2"/>
        <v/>
      </c>
      <c r="B29" s="16"/>
      <c r="C29" s="12"/>
      <c r="D29" s="15" t="str">
        <f>IF(E29="","",IFERROR(VLOOKUP(E29,Paramétrage!$J$30:$P$41,2,FALSE),""))</f>
        <v/>
      </c>
      <c r="E29" s="12"/>
      <c r="F29" s="15" t="str">
        <f>IF(C29="","",IFERROR(VLOOKUP(C29,Paramétrage!$A$30:$G$41,2,FALSE),""))</f>
        <v/>
      </c>
      <c r="G29" s="3"/>
      <c r="H29" s="3"/>
      <c r="I29" s="6"/>
      <c r="J29" s="17" t="str">
        <f t="shared" si="0"/>
        <v/>
      </c>
      <c r="K29" s="13"/>
      <c r="L29" s="8"/>
      <c r="M29" s="18" t="str">
        <f>IF(OR(C29="",Q29=""),"",Q29*IFERROR(VLOOKUP(C29,Paramétrage!$A$30:$G$41,3,FALSE),0)*(1+Paramétrage!$G$12))</f>
        <v/>
      </c>
      <c r="N29" s="18" t="str">
        <f>IF(OR(E29="",Q29=""),"",Q29*IFERROR(VLOOKUP(E29,Paramétrage!$J$30:$P$41,4,FALSE),Paramétrage!$G$10))</f>
        <v/>
      </c>
      <c r="O29" s="18" t="str">
        <f>IF(OR(M29="",N29=""),"",N29-M29-IF(K29="",0,K29*IFERROR(VLOOKUP(E29,Paramétrage!$J$30:$P$41,4,FALSE),Paramétrage!$G$10)))</f>
        <v/>
      </c>
      <c r="P29" s="15" t="str">
        <f>IF(E29="","",IF(O29&lt;0,"Rentabilité négative",IF(OR(N29&gt;VLOOKUP(E29,Paramétrage!$J$30:$P$41,6,FALSE)+VLOOKUP(E29,Paramétrage!$J$30:$P$41,7,FALSE),Q29&gt;VLOOKUP(E29,Paramétrage!$J$30:$P$41,5,FALSE)),"Avenant à prévoir","OK")))</f>
        <v/>
      </c>
      <c r="Q29" s="39" t="str">
        <f t="shared" si="1"/>
        <v/>
      </c>
      <c r="R29" s="40"/>
    </row>
    <row r="30" spans="1:18" x14ac:dyDescent="0.35">
      <c r="A30" s="15" t="str">
        <f t="shared" si="2"/>
        <v/>
      </c>
      <c r="B30" s="16"/>
      <c r="C30" s="12"/>
      <c r="D30" s="15" t="str">
        <f>IF(E30="","",IFERROR(VLOOKUP(E30,Paramétrage!$J$30:$P$41,2,FALSE),""))</f>
        <v/>
      </c>
      <c r="E30" s="12"/>
      <c r="F30" s="15" t="str">
        <f>IF(C30="","",IFERROR(VLOOKUP(C30,Paramétrage!$A$30:$G$41,2,FALSE),""))</f>
        <v/>
      </c>
      <c r="G30" s="3"/>
      <c r="H30" s="3"/>
      <c r="I30" s="6"/>
      <c r="J30" s="17" t="str">
        <f t="shared" si="0"/>
        <v/>
      </c>
      <c r="K30" s="13"/>
      <c r="L30" s="8"/>
      <c r="M30" s="18" t="str">
        <f>IF(OR(C30="",Q30=""),"",Q30*IFERROR(VLOOKUP(C30,Paramétrage!$A$30:$G$41,3,FALSE),0)*(1+Paramétrage!$G$12))</f>
        <v/>
      </c>
      <c r="N30" s="18" t="str">
        <f>IF(OR(E30="",Q30=""),"",Q30*IFERROR(VLOOKUP(E30,Paramétrage!$J$30:$P$41,4,FALSE),Paramétrage!$G$10))</f>
        <v/>
      </c>
      <c r="O30" s="18" t="str">
        <f>IF(OR(M30="",N30=""),"",N30-M30-IF(K30="",0,K30*IFERROR(VLOOKUP(E30,Paramétrage!$J$30:$P$41,4,FALSE),Paramétrage!$G$10)))</f>
        <v/>
      </c>
      <c r="P30" s="15" t="str">
        <f>IF(E30="","",IF(O30&lt;0,"Rentabilité négative",IF(OR(N30&gt;VLOOKUP(E30,Paramétrage!$J$30:$P$41,6,FALSE)+VLOOKUP(E30,Paramétrage!$J$30:$P$41,7,FALSE),Q30&gt;VLOOKUP(E30,Paramétrage!$J$30:$P$41,5,FALSE)),"Avenant à prévoir","OK")))</f>
        <v/>
      </c>
      <c r="Q30" s="39" t="str">
        <f t="shared" si="1"/>
        <v/>
      </c>
      <c r="R30" s="40"/>
    </row>
    <row r="31" spans="1:18" x14ac:dyDescent="0.35">
      <c r="A31" s="15" t="str">
        <f t="shared" si="2"/>
        <v/>
      </c>
      <c r="B31" s="16"/>
      <c r="C31" s="12"/>
      <c r="D31" s="15" t="str">
        <f>IF(E31="","",IFERROR(VLOOKUP(E31,Paramétrage!$J$30:$P$41,2,FALSE),""))</f>
        <v/>
      </c>
      <c r="E31" s="12"/>
      <c r="F31" s="15" t="str">
        <f>IF(C31="","",IFERROR(VLOOKUP(C31,Paramétrage!$A$30:$G$41,2,FALSE),""))</f>
        <v/>
      </c>
      <c r="G31" s="3"/>
      <c r="H31" s="3"/>
      <c r="I31" s="6"/>
      <c r="J31" s="17" t="str">
        <f t="shared" si="0"/>
        <v/>
      </c>
      <c r="K31" s="13"/>
      <c r="L31" s="8"/>
      <c r="M31" s="18" t="str">
        <f>IF(OR(C31="",Q31=""),"",Q31*IFERROR(VLOOKUP(C31,Paramétrage!$A$30:$G$41,3,FALSE),0)*(1+Paramétrage!$G$12))</f>
        <v/>
      </c>
      <c r="N31" s="18" t="str">
        <f>IF(OR(E31="",Q31=""),"",Q31*IFERROR(VLOOKUP(E31,Paramétrage!$J$30:$P$41,4,FALSE),Paramétrage!$G$10))</f>
        <v/>
      </c>
      <c r="O31" s="18" t="str">
        <f>IF(OR(M31="",N31=""),"",N31-M31-IF(K31="",0,K31*IFERROR(VLOOKUP(E31,Paramétrage!$J$30:$P$41,4,FALSE),Paramétrage!$G$10)))</f>
        <v/>
      </c>
      <c r="P31" s="15" t="str">
        <f>IF(E31="","",IF(O31&lt;0,"Rentabilité négative",IF(OR(N31&gt;VLOOKUP(E31,Paramétrage!$J$30:$P$41,6,FALSE)+VLOOKUP(E31,Paramétrage!$J$30:$P$41,7,FALSE),Q31&gt;VLOOKUP(E31,Paramétrage!$J$30:$P$41,5,FALSE)),"Avenant à prévoir","OK")))</f>
        <v/>
      </c>
      <c r="Q31" s="39" t="str">
        <f t="shared" si="1"/>
        <v/>
      </c>
      <c r="R31" s="40"/>
    </row>
    <row r="32" spans="1:18" x14ac:dyDescent="0.35">
      <c r="A32" s="15" t="str">
        <f t="shared" si="2"/>
        <v/>
      </c>
      <c r="B32" s="16"/>
      <c r="C32" s="12"/>
      <c r="D32" s="15" t="str">
        <f>IF(E32="","",IFERROR(VLOOKUP(E32,Paramétrage!$J$30:$P$41,2,FALSE),""))</f>
        <v/>
      </c>
      <c r="E32" s="12"/>
      <c r="F32" s="15" t="str">
        <f>IF(C32="","",IFERROR(VLOOKUP(C32,Paramétrage!$A$30:$G$41,2,FALSE),""))</f>
        <v/>
      </c>
      <c r="G32" s="3"/>
      <c r="H32" s="3"/>
      <c r="I32" s="6"/>
      <c r="J32" s="17" t="str">
        <f t="shared" si="0"/>
        <v/>
      </c>
      <c r="K32" s="13"/>
      <c r="L32" s="8"/>
      <c r="M32" s="18" t="str">
        <f>IF(OR(C32="",Q32=""),"",Q32*IFERROR(VLOOKUP(C32,Paramétrage!$A$30:$G$41,3,FALSE),0)*(1+Paramétrage!$G$12))</f>
        <v/>
      </c>
      <c r="N32" s="18" t="str">
        <f>IF(OR(E32="",Q32=""),"",Q32*IFERROR(VLOOKUP(E32,Paramétrage!$J$30:$P$41,4,FALSE),Paramétrage!$G$10))</f>
        <v/>
      </c>
      <c r="O32" s="18" t="str">
        <f>IF(OR(M32="",N32=""),"",N32-M32-IF(K32="",0,K32*IFERROR(VLOOKUP(E32,Paramétrage!$J$30:$P$41,4,FALSE),Paramétrage!$G$10)))</f>
        <v/>
      </c>
      <c r="P32" s="15" t="str">
        <f>IF(E32="","",IF(O32&lt;0,"Rentabilité négative",IF(OR(N32&gt;VLOOKUP(E32,Paramétrage!$J$30:$P$41,6,FALSE)+VLOOKUP(E32,Paramétrage!$J$30:$P$41,7,FALSE),Q32&gt;VLOOKUP(E32,Paramétrage!$J$30:$P$41,5,FALSE)),"Avenant à prévoir","OK")))</f>
        <v/>
      </c>
      <c r="Q32" s="39" t="str">
        <f t="shared" si="1"/>
        <v/>
      </c>
      <c r="R32" s="40"/>
    </row>
    <row r="33" spans="1:18" x14ac:dyDescent="0.35">
      <c r="A33" s="15" t="str">
        <f t="shared" si="2"/>
        <v/>
      </c>
      <c r="B33" s="16"/>
      <c r="C33" s="12"/>
      <c r="D33" s="15" t="str">
        <f>IF(E33="","",IFERROR(VLOOKUP(E33,Paramétrage!$J$30:$P$41,2,FALSE),""))</f>
        <v/>
      </c>
      <c r="E33" s="12"/>
      <c r="F33" s="15" t="str">
        <f>IF(C33="","",IFERROR(VLOOKUP(C33,Paramétrage!$A$30:$G$41,2,FALSE),""))</f>
        <v/>
      </c>
      <c r="G33" s="3"/>
      <c r="H33" s="3"/>
      <c r="I33" s="6"/>
      <c r="J33" s="17" t="str">
        <f t="shared" si="0"/>
        <v/>
      </c>
      <c r="K33" s="13"/>
      <c r="L33" s="8"/>
      <c r="M33" s="18" t="str">
        <f>IF(OR(C33="",Q33=""),"",Q33*IFERROR(VLOOKUP(C33,Paramétrage!$A$30:$G$41,3,FALSE),0)*(1+Paramétrage!$G$12))</f>
        <v/>
      </c>
      <c r="N33" s="18" t="str">
        <f>IF(OR(E33="",Q33=""),"",Q33*IFERROR(VLOOKUP(E33,Paramétrage!$J$30:$P$41,4,FALSE),Paramétrage!$G$10))</f>
        <v/>
      </c>
      <c r="O33" s="18" t="str">
        <f>IF(OR(M33="",N33=""),"",N33-M33-IF(K33="",0,K33*IFERROR(VLOOKUP(E33,Paramétrage!$J$30:$P$41,4,FALSE),Paramétrage!$G$10)))</f>
        <v/>
      </c>
      <c r="P33" s="15" t="str">
        <f>IF(E33="","",IF(O33&lt;0,"Rentabilité négative",IF(OR(N33&gt;VLOOKUP(E33,Paramétrage!$J$30:$P$41,6,FALSE)+VLOOKUP(E33,Paramétrage!$J$30:$P$41,7,FALSE),Q33&gt;VLOOKUP(E33,Paramétrage!$J$30:$P$41,5,FALSE)),"Avenant à prévoir","OK")))</f>
        <v/>
      </c>
      <c r="Q33" s="39" t="str">
        <f t="shared" si="1"/>
        <v/>
      </c>
      <c r="R33" s="40"/>
    </row>
    <row r="34" spans="1:18" x14ac:dyDescent="0.35">
      <c r="A34" s="15" t="str">
        <f t="shared" si="2"/>
        <v/>
      </c>
      <c r="B34" s="16"/>
      <c r="C34" s="12"/>
      <c r="D34" s="15" t="str">
        <f>IF(E34="","",IFERROR(VLOOKUP(E34,Paramétrage!$J$30:$P$41,2,FALSE),""))</f>
        <v/>
      </c>
      <c r="E34" s="12"/>
      <c r="F34" s="15" t="str">
        <f>IF(C34="","",IFERROR(VLOOKUP(C34,Paramétrage!$A$30:$G$41,2,FALSE),""))</f>
        <v/>
      </c>
      <c r="G34" s="3"/>
      <c r="H34" s="3"/>
      <c r="I34" s="6"/>
      <c r="J34" s="17" t="str">
        <f t="shared" si="0"/>
        <v/>
      </c>
      <c r="K34" s="13"/>
      <c r="L34" s="8"/>
      <c r="M34" s="18" t="str">
        <f>IF(OR(C34="",Q34=""),"",Q34*IFERROR(VLOOKUP(C34,Paramétrage!$A$30:$G$41,3,FALSE),0)*(1+Paramétrage!$G$12))</f>
        <v/>
      </c>
      <c r="N34" s="18" t="str">
        <f>IF(OR(E34="",Q34=""),"",Q34*IFERROR(VLOOKUP(E34,Paramétrage!$J$30:$P$41,4,FALSE),Paramétrage!$G$10))</f>
        <v/>
      </c>
      <c r="O34" s="18" t="str">
        <f>IF(OR(M34="",N34=""),"",N34-M34-IF(K34="",0,K34*IFERROR(VLOOKUP(E34,Paramétrage!$J$30:$P$41,4,FALSE),Paramétrage!$G$10)))</f>
        <v/>
      </c>
      <c r="P34" s="15" t="str">
        <f>IF(E34="","",IF(O34&lt;0,"Rentabilité négative",IF(OR(N34&gt;VLOOKUP(E34,Paramétrage!$J$30:$P$41,6,FALSE)+VLOOKUP(E34,Paramétrage!$J$30:$P$41,7,FALSE),Q34&gt;VLOOKUP(E34,Paramétrage!$J$30:$P$41,5,FALSE)),"Avenant à prévoir","OK")))</f>
        <v/>
      </c>
      <c r="Q34" s="39" t="str">
        <f t="shared" si="1"/>
        <v/>
      </c>
      <c r="R34" s="40"/>
    </row>
    <row r="35" spans="1:18" x14ac:dyDescent="0.35">
      <c r="A35" s="15" t="str">
        <f t="shared" si="2"/>
        <v/>
      </c>
      <c r="B35" s="16"/>
      <c r="C35" s="12"/>
      <c r="D35" s="15" t="str">
        <f>IF(E35="","",IFERROR(VLOOKUP(E35,Paramétrage!$J$30:$P$41,2,FALSE),""))</f>
        <v/>
      </c>
      <c r="E35" s="12"/>
      <c r="F35" s="15" t="str">
        <f>IF(C35="","",IFERROR(VLOOKUP(C35,Paramétrage!$A$30:$G$41,2,FALSE),""))</f>
        <v/>
      </c>
      <c r="G35" s="3"/>
      <c r="H35" s="3"/>
      <c r="I35" s="6"/>
      <c r="J35" s="17" t="str">
        <f t="shared" si="0"/>
        <v/>
      </c>
      <c r="K35" s="13"/>
      <c r="L35" s="8"/>
      <c r="M35" s="18" t="str">
        <f>IF(OR(C35="",Q35=""),"",Q35*IFERROR(VLOOKUP(C35,Paramétrage!$A$30:$G$41,3,FALSE),0)*(1+Paramétrage!$G$12))</f>
        <v/>
      </c>
      <c r="N35" s="18" t="str">
        <f>IF(OR(E35="",Q35=""),"",Q35*IFERROR(VLOOKUP(E35,Paramétrage!$J$30:$P$41,4,FALSE),Paramétrage!$G$10))</f>
        <v/>
      </c>
      <c r="O35" s="18" t="str">
        <f>IF(OR(M35="",N35=""),"",N35-M35-IF(K35="",0,K35*IFERROR(VLOOKUP(E35,Paramétrage!$J$30:$P$41,4,FALSE),Paramétrage!$G$10)))</f>
        <v/>
      </c>
      <c r="P35" s="15" t="str">
        <f>IF(E35="","",IF(O35&lt;0,"Rentabilité négative",IF(OR(N35&gt;VLOOKUP(E35,Paramétrage!$J$30:$P$41,6,FALSE)+VLOOKUP(E35,Paramétrage!$J$30:$P$41,7,FALSE),Q35&gt;VLOOKUP(E35,Paramétrage!$J$30:$P$41,5,FALSE)),"Avenant à prévoir","OK")))</f>
        <v/>
      </c>
      <c r="Q35" s="39" t="str">
        <f t="shared" si="1"/>
        <v/>
      </c>
      <c r="R35" s="40"/>
    </row>
    <row r="36" spans="1:18" x14ac:dyDescent="0.35">
      <c r="A36" s="15" t="str">
        <f t="shared" si="2"/>
        <v/>
      </c>
      <c r="B36" s="16"/>
      <c r="C36" s="12"/>
      <c r="D36" s="15" t="str">
        <f>IF(E36="","",IFERROR(VLOOKUP(E36,Paramétrage!$J$30:$P$41,2,FALSE),""))</f>
        <v/>
      </c>
      <c r="E36" s="12"/>
      <c r="F36" s="15" t="str">
        <f>IF(C36="","",IFERROR(VLOOKUP(C36,Paramétrage!$A$30:$G$41,2,FALSE),""))</f>
        <v/>
      </c>
      <c r="G36" s="3"/>
      <c r="H36" s="3"/>
      <c r="I36" s="6"/>
      <c r="J36" s="17" t="str">
        <f t="shared" si="0"/>
        <v/>
      </c>
      <c r="K36" s="13"/>
      <c r="L36" s="8"/>
      <c r="M36" s="18" t="str">
        <f>IF(OR(C36="",Q36=""),"",Q36*IFERROR(VLOOKUP(C36,Paramétrage!$A$30:$G$41,3,FALSE),0)*(1+Paramétrage!$G$12))</f>
        <v/>
      </c>
      <c r="N36" s="18" t="str">
        <f>IF(OR(E36="",Q36=""),"",Q36*IFERROR(VLOOKUP(E36,Paramétrage!$J$30:$P$41,4,FALSE),Paramétrage!$G$10))</f>
        <v/>
      </c>
      <c r="O36" s="18" t="str">
        <f>IF(OR(M36="",N36=""),"",N36-M36-IF(K36="",0,K36*IFERROR(VLOOKUP(E36,Paramétrage!$J$30:$P$41,4,FALSE),Paramétrage!$G$10)))</f>
        <v/>
      </c>
      <c r="P36" s="15" t="str">
        <f>IF(E36="","",IF(O36&lt;0,"Rentabilité négative",IF(OR(N36&gt;VLOOKUP(E36,Paramétrage!$J$30:$P$41,6,FALSE)+VLOOKUP(E36,Paramétrage!$J$30:$P$41,7,FALSE),Q36&gt;VLOOKUP(E36,Paramétrage!$J$30:$P$41,5,FALSE)),"Avenant à prévoir","OK")))</f>
        <v/>
      </c>
      <c r="Q36" s="39" t="str">
        <f t="shared" si="1"/>
        <v/>
      </c>
      <c r="R36" s="40"/>
    </row>
    <row r="37" spans="1:18" x14ac:dyDescent="0.35">
      <c r="A37" s="15" t="str">
        <f t="shared" si="2"/>
        <v/>
      </c>
      <c r="B37" s="16"/>
      <c r="C37" s="12"/>
      <c r="D37" s="15" t="str">
        <f>IF(E37="","",IFERROR(VLOOKUP(E37,Paramétrage!$J$30:$P$41,2,FALSE),""))</f>
        <v/>
      </c>
      <c r="E37" s="12"/>
      <c r="F37" s="15" t="str">
        <f>IF(C37="","",IFERROR(VLOOKUP(C37,Paramétrage!$A$30:$G$41,2,FALSE),""))</f>
        <v/>
      </c>
      <c r="G37" s="3"/>
      <c r="H37" s="3"/>
      <c r="I37" s="6"/>
      <c r="J37" s="17" t="str">
        <f t="shared" si="0"/>
        <v/>
      </c>
      <c r="K37" s="13"/>
      <c r="L37" s="8"/>
      <c r="M37" s="18" t="str">
        <f>IF(OR(C37="",Q37=""),"",Q37*IFERROR(VLOOKUP(C37,Paramétrage!$A$30:$G$41,3,FALSE),0)*(1+Paramétrage!$G$12))</f>
        <v/>
      </c>
      <c r="N37" s="18" t="str">
        <f>IF(OR(E37="",Q37=""),"",Q37*IFERROR(VLOOKUP(E37,Paramétrage!$J$30:$P$41,4,FALSE),Paramétrage!$G$10))</f>
        <v/>
      </c>
      <c r="O37" s="18" t="str">
        <f>IF(OR(M37="",N37=""),"",N37-M37-IF(K37="",0,K37*IFERROR(VLOOKUP(E37,Paramétrage!$J$30:$P$41,4,FALSE),Paramétrage!$G$10)))</f>
        <v/>
      </c>
      <c r="P37" s="15" t="str">
        <f>IF(E37="","",IF(O37&lt;0,"Rentabilité négative",IF(OR(N37&gt;VLOOKUP(E37,Paramétrage!$J$30:$P$41,6,FALSE)+VLOOKUP(E37,Paramétrage!$J$30:$P$41,7,FALSE),Q37&gt;VLOOKUP(E37,Paramétrage!$J$30:$P$41,5,FALSE)),"Avenant à prévoir","OK")))</f>
        <v/>
      </c>
      <c r="Q37" s="39" t="str">
        <f t="shared" si="1"/>
        <v/>
      </c>
      <c r="R37" s="40"/>
    </row>
    <row r="38" spans="1:18" x14ac:dyDescent="0.35">
      <c r="A38" s="15" t="str">
        <f t="shared" si="2"/>
        <v/>
      </c>
      <c r="B38" s="16"/>
      <c r="C38" s="12"/>
      <c r="D38" s="15" t="str">
        <f>IF(E38="","",IFERROR(VLOOKUP(E38,Paramétrage!$J$30:$P$41,2,FALSE),""))</f>
        <v/>
      </c>
      <c r="E38" s="12"/>
      <c r="F38" s="15" t="str">
        <f>IF(C38="","",IFERROR(VLOOKUP(C38,Paramétrage!$A$30:$G$41,2,FALSE),""))</f>
        <v/>
      </c>
      <c r="G38" s="3"/>
      <c r="H38" s="3"/>
      <c r="I38" s="6"/>
      <c r="J38" s="17" t="str">
        <f t="shared" si="0"/>
        <v/>
      </c>
      <c r="K38" s="13"/>
      <c r="L38" s="8"/>
      <c r="M38" s="18" t="str">
        <f>IF(OR(C38="",Q38=""),"",Q38*IFERROR(VLOOKUP(C38,Paramétrage!$A$30:$G$41,3,FALSE),0)*(1+Paramétrage!$G$12))</f>
        <v/>
      </c>
      <c r="N38" s="18" t="str">
        <f>IF(OR(E38="",Q38=""),"",Q38*IFERROR(VLOOKUP(E38,Paramétrage!$J$30:$P$41,4,FALSE),Paramétrage!$G$10))</f>
        <v/>
      </c>
      <c r="O38" s="18" t="str">
        <f>IF(OR(M38="",N38=""),"",N38-M38-IF(K38="",0,K38*IFERROR(VLOOKUP(E38,Paramétrage!$J$30:$P$41,4,FALSE),Paramétrage!$G$10)))</f>
        <v/>
      </c>
      <c r="P38" s="15" t="str">
        <f>IF(E38="","",IF(O38&lt;0,"Rentabilité négative",IF(OR(N38&gt;VLOOKUP(E38,Paramétrage!$J$30:$P$41,6,FALSE)+VLOOKUP(E38,Paramétrage!$J$30:$P$41,7,FALSE),Q38&gt;VLOOKUP(E38,Paramétrage!$J$30:$P$41,5,FALSE)),"Avenant à prévoir","OK")))</f>
        <v/>
      </c>
      <c r="Q38" s="39" t="str">
        <f t="shared" si="1"/>
        <v/>
      </c>
      <c r="R38" s="40"/>
    </row>
    <row r="39" spans="1:18" x14ac:dyDescent="0.35">
      <c r="A39" s="15" t="str">
        <f t="shared" si="2"/>
        <v/>
      </c>
      <c r="B39" s="16"/>
      <c r="C39" s="12"/>
      <c r="D39" s="15" t="str">
        <f>IF(E39="","",IFERROR(VLOOKUP(E39,Paramétrage!$J$30:$P$41,2,FALSE),""))</f>
        <v/>
      </c>
      <c r="E39" s="12"/>
      <c r="F39" s="15" t="str">
        <f>IF(C39="","",IFERROR(VLOOKUP(C39,Paramétrage!$A$30:$G$41,2,FALSE),""))</f>
        <v/>
      </c>
      <c r="G39" s="3"/>
      <c r="H39" s="3"/>
      <c r="I39" s="6"/>
      <c r="J39" s="17" t="str">
        <f t="shared" si="0"/>
        <v/>
      </c>
      <c r="K39" s="13"/>
      <c r="L39" s="8"/>
      <c r="M39" s="18" t="str">
        <f>IF(OR(C39="",Q39=""),"",Q39*IFERROR(VLOOKUP(C39,Paramétrage!$A$30:$G$41,3,FALSE),0)*(1+Paramétrage!$G$12))</f>
        <v/>
      </c>
      <c r="N39" s="18" t="str">
        <f>IF(OR(E39="",Q39=""),"",Q39*IFERROR(VLOOKUP(E39,Paramétrage!$J$30:$P$41,4,FALSE),Paramétrage!$G$10))</f>
        <v/>
      </c>
      <c r="O39" s="18" t="str">
        <f>IF(OR(M39="",N39=""),"",N39-M39-IF(K39="",0,K39*IFERROR(VLOOKUP(E39,Paramétrage!$J$30:$P$41,4,FALSE),Paramétrage!$G$10)))</f>
        <v/>
      </c>
      <c r="P39" s="15" t="str">
        <f>IF(E39="","",IF(O39&lt;0,"Rentabilité négative",IF(OR(N39&gt;VLOOKUP(E39,Paramétrage!$J$30:$P$41,6,FALSE)+VLOOKUP(E39,Paramétrage!$J$30:$P$41,7,FALSE),Q39&gt;VLOOKUP(E39,Paramétrage!$J$30:$P$41,5,FALSE)),"Avenant à prévoir","OK")))</f>
        <v/>
      </c>
      <c r="Q39" s="39" t="str">
        <f t="shared" si="1"/>
        <v/>
      </c>
      <c r="R39" s="40"/>
    </row>
    <row r="40" spans="1:18" x14ac:dyDescent="0.35">
      <c r="A40" s="15" t="str">
        <f t="shared" si="2"/>
        <v/>
      </c>
      <c r="B40" s="16"/>
      <c r="C40" s="12"/>
      <c r="D40" s="15" t="str">
        <f>IF(E40="","",IFERROR(VLOOKUP(E40,Paramétrage!$J$30:$P$41,2,FALSE),""))</f>
        <v/>
      </c>
      <c r="E40" s="12"/>
      <c r="F40" s="15" t="str">
        <f>IF(C40="","",IFERROR(VLOOKUP(C40,Paramétrage!$A$30:$G$41,2,FALSE),""))</f>
        <v/>
      </c>
      <c r="G40" s="3"/>
      <c r="H40" s="3"/>
      <c r="I40" s="6"/>
      <c r="J40" s="17" t="str">
        <f t="shared" si="0"/>
        <v/>
      </c>
      <c r="K40" s="13"/>
      <c r="L40" s="8"/>
      <c r="M40" s="18" t="str">
        <f>IF(OR(C40="",Q40=""),"",Q40*IFERROR(VLOOKUP(C40,Paramétrage!$A$30:$G$41,3,FALSE),0)*(1+Paramétrage!$G$12))</f>
        <v/>
      </c>
      <c r="N40" s="18" t="str">
        <f>IF(OR(E40="",Q40=""),"",Q40*IFERROR(VLOOKUP(E40,Paramétrage!$J$30:$P$41,4,FALSE),Paramétrage!$G$10))</f>
        <v/>
      </c>
      <c r="O40" s="18" t="str">
        <f>IF(OR(M40="",N40=""),"",N40-M40-IF(K40="",0,K40*IFERROR(VLOOKUP(E40,Paramétrage!$J$30:$P$41,4,FALSE),Paramétrage!$G$10)))</f>
        <v/>
      </c>
      <c r="P40" s="15" t="str">
        <f>IF(E40="","",IF(O40&lt;0,"Rentabilité négative",IF(OR(N40&gt;VLOOKUP(E40,Paramétrage!$J$30:$P$41,6,FALSE)+VLOOKUP(E40,Paramétrage!$J$30:$P$41,7,FALSE),Q40&gt;VLOOKUP(E40,Paramétrage!$J$30:$P$41,5,FALSE)),"Avenant à prévoir","OK")))</f>
        <v/>
      </c>
      <c r="Q40" s="39" t="str">
        <f t="shared" si="1"/>
        <v/>
      </c>
      <c r="R40" s="40"/>
    </row>
    <row r="41" spans="1:18" x14ac:dyDescent="0.35">
      <c r="A41" s="15" t="str">
        <f t="shared" si="2"/>
        <v/>
      </c>
      <c r="B41" s="16"/>
      <c r="C41" s="12"/>
      <c r="D41" s="15" t="str">
        <f>IF(E41="","",IFERROR(VLOOKUP(E41,Paramétrage!$J$30:$P$41,2,FALSE),""))</f>
        <v/>
      </c>
      <c r="E41" s="12"/>
      <c r="F41" s="15" t="str">
        <f>IF(C41="","",IFERROR(VLOOKUP(C41,Paramétrage!$A$30:$G$41,2,FALSE),""))</f>
        <v/>
      </c>
      <c r="G41" s="3"/>
      <c r="H41" s="3"/>
      <c r="I41" s="6"/>
      <c r="J41" s="17" t="str">
        <f t="shared" si="0"/>
        <v/>
      </c>
      <c r="K41" s="13"/>
      <c r="L41" s="8"/>
      <c r="M41" s="18" t="str">
        <f>IF(OR(C41="",Q41=""),"",Q41*IFERROR(VLOOKUP(C41,Paramétrage!$A$30:$G$41,3,FALSE),0)*(1+Paramétrage!$G$12))</f>
        <v/>
      </c>
      <c r="N41" s="18" t="str">
        <f>IF(OR(E41="",Q41=""),"",Q41*IFERROR(VLOOKUP(E41,Paramétrage!$J$30:$P$41,4,FALSE),Paramétrage!$G$10))</f>
        <v/>
      </c>
      <c r="O41" s="18" t="str">
        <f>IF(OR(M41="",N41=""),"",N41-M41-IF(K41="",0,K41*IFERROR(VLOOKUP(E41,Paramétrage!$J$30:$P$41,4,FALSE),Paramétrage!$G$10)))</f>
        <v/>
      </c>
      <c r="P41" s="15" t="str">
        <f>IF(E41="","",IF(O41&lt;0,"Rentabilité négative",IF(OR(N41&gt;VLOOKUP(E41,Paramétrage!$J$30:$P$41,6,FALSE)+VLOOKUP(E41,Paramétrage!$J$30:$P$41,7,FALSE),Q41&gt;VLOOKUP(E41,Paramétrage!$J$30:$P$41,5,FALSE)),"Avenant à prévoir","OK")))</f>
        <v/>
      </c>
      <c r="Q41" s="39" t="str">
        <f t="shared" si="1"/>
        <v/>
      </c>
      <c r="R41" s="40"/>
    </row>
    <row r="42" spans="1:18" x14ac:dyDescent="0.35">
      <c r="A42" s="15" t="str">
        <f t="shared" si="2"/>
        <v/>
      </c>
      <c r="B42" s="16"/>
      <c r="C42" s="12"/>
      <c r="D42" s="15" t="str">
        <f>IF(E42="","",IFERROR(VLOOKUP(E42,Paramétrage!$J$30:$P$41,2,FALSE),""))</f>
        <v/>
      </c>
      <c r="E42" s="12"/>
      <c r="F42" s="15" t="str">
        <f>IF(C42="","",IFERROR(VLOOKUP(C42,Paramétrage!$A$30:$G$41,2,FALSE),""))</f>
        <v/>
      </c>
      <c r="G42" s="3"/>
      <c r="H42" s="3"/>
      <c r="I42" s="6"/>
      <c r="J42" s="17" t="str">
        <f t="shared" si="0"/>
        <v/>
      </c>
      <c r="K42" s="13"/>
      <c r="L42" s="8"/>
      <c r="M42" s="18" t="str">
        <f>IF(OR(C42="",Q42=""),"",Q42*IFERROR(VLOOKUP(C42,Paramétrage!$A$30:$G$41,3,FALSE),0)*(1+Paramétrage!$G$12))</f>
        <v/>
      </c>
      <c r="N42" s="18" t="str">
        <f>IF(OR(E42="",Q42=""),"",Q42*IFERROR(VLOOKUP(E42,Paramétrage!$J$30:$P$41,4,FALSE),Paramétrage!$G$10))</f>
        <v/>
      </c>
      <c r="O42" s="18" t="str">
        <f>IF(OR(M42="",N42=""),"",N42-M42-IF(K42="",0,K42*IFERROR(VLOOKUP(E42,Paramétrage!$J$30:$P$41,4,FALSE),Paramétrage!$G$10)))</f>
        <v/>
      </c>
      <c r="P42" s="15" t="str">
        <f>IF(E42="","",IF(O42&lt;0,"Rentabilité négative",IF(OR(N42&gt;VLOOKUP(E42,Paramétrage!$J$30:$P$41,6,FALSE)+VLOOKUP(E42,Paramétrage!$J$30:$P$41,7,FALSE),Q42&gt;VLOOKUP(E42,Paramétrage!$J$30:$P$41,5,FALSE)),"Avenant à prévoir","OK")))</f>
        <v/>
      </c>
      <c r="Q42" s="39" t="str">
        <f t="shared" si="1"/>
        <v/>
      </c>
      <c r="R42" s="40"/>
    </row>
    <row r="43" spans="1:18" x14ac:dyDescent="0.35">
      <c r="A43" s="15" t="str">
        <f t="shared" si="2"/>
        <v/>
      </c>
      <c r="B43" s="16"/>
      <c r="C43" s="12"/>
      <c r="D43" s="15" t="str">
        <f>IF(E43="","",IFERROR(VLOOKUP(E43,Paramétrage!$J$30:$P$41,2,FALSE),""))</f>
        <v/>
      </c>
      <c r="E43" s="12"/>
      <c r="F43" s="15" t="str">
        <f>IF(C43="","",IFERROR(VLOOKUP(C43,Paramétrage!$A$30:$G$41,2,FALSE),""))</f>
        <v/>
      </c>
      <c r="G43" s="3"/>
      <c r="H43" s="3"/>
      <c r="I43" s="6"/>
      <c r="J43" s="17" t="str">
        <f t="shared" si="0"/>
        <v/>
      </c>
      <c r="K43" s="13"/>
      <c r="L43" s="8"/>
      <c r="M43" s="18" t="str">
        <f>IF(OR(C43="",Q43=""),"",Q43*IFERROR(VLOOKUP(C43,Paramétrage!$A$30:$G$41,3,FALSE),0)*(1+Paramétrage!$G$12))</f>
        <v/>
      </c>
      <c r="N43" s="18" t="str">
        <f>IF(OR(E43="",Q43=""),"",Q43*IFERROR(VLOOKUP(E43,Paramétrage!$J$30:$P$41,4,FALSE),Paramétrage!$G$10))</f>
        <v/>
      </c>
      <c r="O43" s="18" t="str">
        <f>IF(OR(M43="",N43=""),"",N43-M43-IF(K43="",0,K43*IFERROR(VLOOKUP(E43,Paramétrage!$J$30:$P$41,4,FALSE),Paramétrage!$G$10)))</f>
        <v/>
      </c>
      <c r="P43" s="15" t="str">
        <f>IF(E43="","",IF(O43&lt;0,"Rentabilité négative",IF(OR(N43&gt;VLOOKUP(E43,Paramétrage!$J$30:$P$41,6,FALSE)+VLOOKUP(E43,Paramétrage!$J$30:$P$41,7,FALSE),Q43&gt;VLOOKUP(E43,Paramétrage!$J$30:$P$41,5,FALSE)),"Avenant à prévoir","OK")))</f>
        <v/>
      </c>
      <c r="Q43" s="39" t="str">
        <f t="shared" si="1"/>
        <v/>
      </c>
      <c r="R43" s="40"/>
    </row>
    <row r="44" spans="1:18" x14ac:dyDescent="0.35">
      <c r="A44" s="15" t="str">
        <f t="shared" si="2"/>
        <v/>
      </c>
      <c r="B44" s="16"/>
      <c r="C44" s="12"/>
      <c r="D44" s="15" t="str">
        <f>IF(E44="","",IFERROR(VLOOKUP(E44,Paramétrage!$J$30:$P$41,2,FALSE),""))</f>
        <v/>
      </c>
      <c r="E44" s="12"/>
      <c r="F44" s="15" t="str">
        <f>IF(C44="","",IFERROR(VLOOKUP(C44,Paramétrage!$A$30:$G$41,2,FALSE),""))</f>
        <v/>
      </c>
      <c r="G44" s="3"/>
      <c r="H44" s="3"/>
      <c r="I44" s="6"/>
      <c r="J44" s="17" t="str">
        <f t="shared" si="0"/>
        <v/>
      </c>
      <c r="K44" s="13"/>
      <c r="L44" s="8"/>
      <c r="M44" s="18" t="str">
        <f>IF(OR(C44="",Q44=""),"",Q44*IFERROR(VLOOKUP(C44,Paramétrage!$A$30:$G$41,3,FALSE),0)*(1+Paramétrage!$G$12))</f>
        <v/>
      </c>
      <c r="N44" s="18" t="str">
        <f>IF(OR(E44="",Q44=""),"",Q44*IFERROR(VLOOKUP(E44,Paramétrage!$J$30:$P$41,4,FALSE),Paramétrage!$G$10))</f>
        <v/>
      </c>
      <c r="O44" s="18" t="str">
        <f>IF(OR(M44="",N44=""),"",N44-M44-IF(K44="",0,K44*IFERROR(VLOOKUP(E44,Paramétrage!$J$30:$P$41,4,FALSE),Paramétrage!$G$10)))</f>
        <v/>
      </c>
      <c r="P44" s="15" t="str">
        <f>IF(E44="","",IF(O44&lt;0,"Rentabilité négative",IF(OR(N44&gt;VLOOKUP(E44,Paramétrage!$J$30:$P$41,6,FALSE)+VLOOKUP(E44,Paramétrage!$J$30:$P$41,7,FALSE),Q44&gt;VLOOKUP(E44,Paramétrage!$J$30:$P$41,5,FALSE)),"Avenant à prévoir","OK")))</f>
        <v/>
      </c>
      <c r="Q44" s="39" t="str">
        <f t="shared" si="1"/>
        <v/>
      </c>
      <c r="R44" s="40"/>
    </row>
    <row r="45" spans="1:18" x14ac:dyDescent="0.35">
      <c r="A45" s="15" t="str">
        <f t="shared" si="2"/>
        <v/>
      </c>
      <c r="B45" s="16"/>
      <c r="C45" s="12"/>
      <c r="D45" s="15" t="str">
        <f>IF(E45="","",IFERROR(VLOOKUP(E45,Paramétrage!$J$30:$P$41,2,FALSE),""))</f>
        <v/>
      </c>
      <c r="E45" s="12"/>
      <c r="F45" s="15" t="str">
        <f>IF(C45="","",IFERROR(VLOOKUP(C45,Paramétrage!$A$30:$G$41,2,FALSE),""))</f>
        <v/>
      </c>
      <c r="G45" s="3"/>
      <c r="H45" s="3"/>
      <c r="I45" s="6"/>
      <c r="J45" s="17" t="str">
        <f t="shared" si="0"/>
        <v/>
      </c>
      <c r="K45" s="13"/>
      <c r="L45" s="8"/>
      <c r="M45" s="18" t="str">
        <f>IF(OR(C45="",Q45=""),"",Q45*IFERROR(VLOOKUP(C45,Paramétrage!$A$30:$G$41,3,FALSE),0)*(1+Paramétrage!$G$12))</f>
        <v/>
      </c>
      <c r="N45" s="18" t="str">
        <f>IF(OR(E45="",Q45=""),"",Q45*IFERROR(VLOOKUP(E45,Paramétrage!$J$30:$P$41,4,FALSE),Paramétrage!$G$10))</f>
        <v/>
      </c>
      <c r="O45" s="18" t="str">
        <f>IF(OR(M45="",N45=""),"",N45-M45-IF(K45="",0,K45*IFERROR(VLOOKUP(E45,Paramétrage!$J$30:$P$41,4,FALSE),Paramétrage!$G$10)))</f>
        <v/>
      </c>
      <c r="P45" s="15" t="str">
        <f>IF(E45="","",IF(O45&lt;0,"Rentabilité négative",IF(OR(N45&gt;VLOOKUP(E45,Paramétrage!$J$30:$P$41,6,FALSE)+VLOOKUP(E45,Paramétrage!$J$30:$P$41,7,FALSE),Q45&gt;VLOOKUP(E45,Paramétrage!$J$30:$P$41,5,FALSE)),"Avenant à prévoir","OK")))</f>
        <v/>
      </c>
      <c r="Q45" s="39" t="str">
        <f t="shared" si="1"/>
        <v/>
      </c>
      <c r="R45" s="40"/>
    </row>
    <row r="46" spans="1:18" x14ac:dyDescent="0.35">
      <c r="A46" s="15" t="str">
        <f t="shared" si="2"/>
        <v/>
      </c>
      <c r="B46" s="16"/>
      <c r="C46" s="12"/>
      <c r="D46" s="15" t="str">
        <f>IF(E46="","",IFERROR(VLOOKUP(E46,Paramétrage!$J$30:$P$41,2,FALSE),""))</f>
        <v/>
      </c>
      <c r="E46" s="12"/>
      <c r="F46" s="15" t="str">
        <f>IF(C46="","",IFERROR(VLOOKUP(C46,Paramétrage!$A$30:$G$41,2,FALSE),""))</f>
        <v/>
      </c>
      <c r="G46" s="3"/>
      <c r="H46" s="3"/>
      <c r="I46" s="6"/>
      <c r="J46" s="17" t="str">
        <f t="shared" si="0"/>
        <v/>
      </c>
      <c r="K46" s="13"/>
      <c r="L46" s="8"/>
      <c r="M46" s="18" t="str">
        <f>IF(OR(C46="",Q46=""),"",Q46*IFERROR(VLOOKUP(C46,Paramétrage!$A$30:$G$41,3,FALSE),0)*(1+Paramétrage!$G$12))</f>
        <v/>
      </c>
      <c r="N46" s="18" t="str">
        <f>IF(OR(E46="",Q46=""),"",Q46*IFERROR(VLOOKUP(E46,Paramétrage!$J$30:$P$41,4,FALSE),Paramétrage!$G$10))</f>
        <v/>
      </c>
      <c r="O46" s="18" t="str">
        <f>IF(OR(M46="",N46=""),"",N46-M46-IF(K46="",0,K46*IFERROR(VLOOKUP(E46,Paramétrage!$J$30:$P$41,4,FALSE),Paramétrage!$G$10)))</f>
        <v/>
      </c>
      <c r="P46" s="15" t="str">
        <f>IF(E46="","",IF(O46&lt;0,"Rentabilité négative",IF(OR(N46&gt;VLOOKUP(E46,Paramétrage!$J$30:$P$41,6,FALSE)+VLOOKUP(E46,Paramétrage!$J$30:$P$41,7,FALSE),Q46&gt;VLOOKUP(E46,Paramétrage!$J$30:$P$41,5,FALSE)),"Avenant à prévoir","OK")))</f>
        <v/>
      </c>
      <c r="Q46" s="39" t="str">
        <f t="shared" si="1"/>
        <v/>
      </c>
      <c r="R46" s="40"/>
    </row>
    <row r="47" spans="1:18" x14ac:dyDescent="0.35">
      <c r="A47" s="15" t="str">
        <f t="shared" si="2"/>
        <v/>
      </c>
      <c r="B47" s="16"/>
      <c r="C47" s="12"/>
      <c r="D47" s="15" t="str">
        <f>IF(E47="","",IFERROR(VLOOKUP(E47,Paramétrage!$J$30:$P$41,2,FALSE),""))</f>
        <v/>
      </c>
      <c r="E47" s="12"/>
      <c r="F47" s="15" t="str">
        <f>IF(C47="","",IFERROR(VLOOKUP(C47,Paramétrage!$A$30:$G$41,2,FALSE),""))</f>
        <v/>
      </c>
      <c r="G47" s="3"/>
      <c r="H47" s="3"/>
      <c r="I47" s="6"/>
      <c r="J47" s="17" t="str">
        <f t="shared" si="0"/>
        <v/>
      </c>
      <c r="K47" s="13"/>
      <c r="L47" s="8"/>
      <c r="M47" s="18" t="str">
        <f>IF(OR(C47="",Q47=""),"",Q47*IFERROR(VLOOKUP(C47,Paramétrage!$A$30:$G$41,3,FALSE),0)*(1+Paramétrage!$G$12))</f>
        <v/>
      </c>
      <c r="N47" s="18" t="str">
        <f>IF(OR(E47="",Q47=""),"",Q47*IFERROR(VLOOKUP(E47,Paramétrage!$J$30:$P$41,4,FALSE),Paramétrage!$G$10))</f>
        <v/>
      </c>
      <c r="O47" s="18" t="str">
        <f>IF(OR(M47="",N47=""),"",N47-M47-IF(K47="",0,K47*IFERROR(VLOOKUP(E47,Paramétrage!$J$30:$P$41,4,FALSE),Paramétrage!$G$10)))</f>
        <v/>
      </c>
      <c r="P47" s="15" t="str">
        <f>IF(E47="","",IF(O47&lt;0,"Rentabilité négative",IF(OR(N47&gt;VLOOKUP(E47,Paramétrage!$J$30:$P$41,6,FALSE)+VLOOKUP(E47,Paramétrage!$J$30:$P$41,7,FALSE),Q47&gt;VLOOKUP(E47,Paramétrage!$J$30:$P$41,5,FALSE)),"Avenant à prévoir","OK")))</f>
        <v/>
      </c>
      <c r="Q47" s="39" t="str">
        <f t="shared" si="1"/>
        <v/>
      </c>
      <c r="R47" s="40"/>
    </row>
    <row r="48" spans="1:18" x14ac:dyDescent="0.35">
      <c r="A48" s="15" t="str">
        <f t="shared" si="2"/>
        <v/>
      </c>
      <c r="B48" s="16"/>
      <c r="C48" s="12"/>
      <c r="D48" s="15" t="str">
        <f>IF(E48="","",IFERROR(VLOOKUP(E48,Paramétrage!$J$30:$P$41,2,FALSE),""))</f>
        <v/>
      </c>
      <c r="E48" s="12"/>
      <c r="F48" s="15" t="str">
        <f>IF(C48="","",IFERROR(VLOOKUP(C48,Paramétrage!$A$30:$G$41,2,FALSE),""))</f>
        <v/>
      </c>
      <c r="G48" s="3"/>
      <c r="H48" s="3"/>
      <c r="I48" s="6"/>
      <c r="J48" s="17" t="str">
        <f t="shared" si="0"/>
        <v/>
      </c>
      <c r="K48" s="13"/>
      <c r="L48" s="8"/>
      <c r="M48" s="18" t="str">
        <f>IF(OR(C48="",Q48=""),"",Q48*IFERROR(VLOOKUP(C48,Paramétrage!$A$30:$G$41,3,FALSE),0)*(1+Paramétrage!$G$12))</f>
        <v/>
      </c>
      <c r="N48" s="18" t="str">
        <f>IF(OR(E48="",Q48=""),"",Q48*IFERROR(VLOOKUP(E48,Paramétrage!$J$30:$P$41,4,FALSE),Paramétrage!$G$10))</f>
        <v/>
      </c>
      <c r="O48" s="18" t="str">
        <f>IF(OR(M48="",N48=""),"",N48-M48-IF(K48="",0,K48*IFERROR(VLOOKUP(E48,Paramétrage!$J$30:$P$41,4,FALSE),Paramétrage!$G$10)))</f>
        <v/>
      </c>
      <c r="P48" s="15" t="str">
        <f>IF(E48="","",IF(O48&lt;0,"Rentabilité négative",IF(OR(N48&gt;VLOOKUP(E48,Paramétrage!$J$30:$P$41,6,FALSE)+VLOOKUP(E48,Paramétrage!$J$30:$P$41,7,FALSE),Q48&gt;VLOOKUP(E48,Paramétrage!$J$30:$P$41,5,FALSE)),"Avenant à prévoir","OK")))</f>
        <v/>
      </c>
      <c r="Q48" s="39" t="str">
        <f t="shared" si="1"/>
        <v/>
      </c>
      <c r="R48" s="40"/>
    </row>
    <row r="49" spans="1:22" x14ac:dyDescent="0.35">
      <c r="A49" s="15" t="str">
        <f t="shared" si="2"/>
        <v/>
      </c>
      <c r="B49" s="16"/>
      <c r="C49" s="12"/>
      <c r="D49" s="15" t="str">
        <f>IF(E49="","",IFERROR(VLOOKUP(E49,Paramétrage!$J$30:$P$41,2,FALSE),""))</f>
        <v/>
      </c>
      <c r="E49" s="12"/>
      <c r="F49" s="15" t="str">
        <f>IF(C49="","",IFERROR(VLOOKUP(C49,Paramétrage!$A$30:$G$41,2,FALSE),""))</f>
        <v/>
      </c>
      <c r="G49" s="3"/>
      <c r="H49" s="3"/>
      <c r="I49" s="6"/>
      <c r="J49" s="17" t="str">
        <f t="shared" si="0"/>
        <v/>
      </c>
      <c r="K49" s="13"/>
      <c r="L49" s="8"/>
      <c r="M49" s="18" t="str">
        <f>IF(OR(C49="",Q49=""),"",Q49*IFERROR(VLOOKUP(C49,Paramétrage!$A$30:$G$41,3,FALSE),0)*(1+Paramétrage!$G$12))</f>
        <v/>
      </c>
      <c r="N49" s="18" t="str">
        <f>IF(OR(E49="",Q49=""),"",Q49*IFERROR(VLOOKUP(E49,Paramétrage!$J$30:$P$41,4,FALSE),Paramétrage!$G$10))</f>
        <v/>
      </c>
      <c r="O49" s="18" t="str">
        <f>IF(OR(M49="",N49=""),"",N49-M49-IF(K49="",0,K49*IFERROR(VLOOKUP(E49,Paramétrage!$J$30:$P$41,4,FALSE),Paramétrage!$G$10)))</f>
        <v/>
      </c>
      <c r="P49" s="15" t="str">
        <f>IF(E49="","",IF(O49&lt;0,"Rentabilité négative",IF(OR(N49&gt;VLOOKUP(E49,Paramétrage!$J$30:$P$41,6,FALSE)+VLOOKUP(E49,Paramétrage!$J$30:$P$41,7,FALSE),Q49&gt;VLOOKUP(E49,Paramétrage!$J$30:$P$41,5,FALSE)),"Avenant à prévoir","OK")))</f>
        <v/>
      </c>
      <c r="Q49" s="39" t="str">
        <f t="shared" si="1"/>
        <v/>
      </c>
      <c r="R49" s="40"/>
    </row>
    <row r="50" spans="1:22" x14ac:dyDescent="0.35">
      <c r="A50" s="15" t="str">
        <f t="shared" si="2"/>
        <v/>
      </c>
      <c r="B50" s="16"/>
      <c r="C50" s="12"/>
      <c r="D50" s="15" t="str">
        <f>IF(E50="","",IFERROR(VLOOKUP(E50,Paramétrage!$J$30:$P$41,2,FALSE),""))</f>
        <v/>
      </c>
      <c r="E50" s="12"/>
      <c r="F50" s="15" t="str">
        <f>IF(C50="","",IFERROR(VLOOKUP(C50,Paramétrage!$A$30:$G$41,2,FALSE),""))</f>
        <v/>
      </c>
      <c r="G50" s="3"/>
      <c r="H50" s="3"/>
      <c r="I50" s="6"/>
      <c r="J50" s="17" t="str">
        <f t="shared" si="0"/>
        <v/>
      </c>
      <c r="K50" s="13"/>
      <c r="L50" s="8"/>
      <c r="M50" s="18" t="str">
        <f>IF(OR(C50="",Q50=""),"",Q50*IFERROR(VLOOKUP(C50,Paramétrage!$A$30:$G$41,3,FALSE),0)*(1+Paramétrage!$G$12))</f>
        <v/>
      </c>
      <c r="N50" s="18" t="str">
        <f>IF(OR(E50="",Q50=""),"",Q50*IFERROR(VLOOKUP(E50,Paramétrage!$J$30:$P$41,4,FALSE),Paramétrage!$G$10))</f>
        <v/>
      </c>
      <c r="O50" s="18" t="str">
        <f>IF(OR(M50="",N50=""),"",N50-M50-IF(K50="",0,K50*IFERROR(VLOOKUP(E50,Paramétrage!$J$30:$P$41,4,FALSE),Paramétrage!$G$10)))</f>
        <v/>
      </c>
      <c r="P50" s="15" t="str">
        <f>IF(E50="","",IF(O50&lt;0,"Rentabilité négative",IF(OR(N50&gt;VLOOKUP(E50,Paramétrage!$J$30:$P$41,6,FALSE)+VLOOKUP(E50,Paramétrage!$J$30:$P$41,7,FALSE),Q50&gt;VLOOKUP(E50,Paramétrage!$J$30:$P$41,5,FALSE)),"Avenant à prévoir","OK")))</f>
        <v/>
      </c>
      <c r="Q50" s="39" t="str">
        <f t="shared" si="1"/>
        <v/>
      </c>
      <c r="R50" s="40"/>
    </row>
    <row r="51" spans="1:22" x14ac:dyDescent="0.35">
      <c r="A51" s="15" t="str">
        <f t="shared" si="2"/>
        <v/>
      </c>
      <c r="B51" s="16"/>
      <c r="C51" s="12"/>
      <c r="D51" s="15" t="str">
        <f>IF(E51="","",IFERROR(VLOOKUP(E51,Paramétrage!$J$30:$P$41,2,FALSE),""))</f>
        <v/>
      </c>
      <c r="E51" s="12"/>
      <c r="F51" s="15" t="str">
        <f>IF(C51="","",IFERROR(VLOOKUP(C51,Paramétrage!$A$30:$G$41,2,FALSE),""))</f>
        <v/>
      </c>
      <c r="G51" s="3"/>
      <c r="H51" s="3"/>
      <c r="I51" s="6"/>
      <c r="J51" s="17" t="str">
        <f t="shared" si="0"/>
        <v/>
      </c>
      <c r="K51" s="13"/>
      <c r="L51" s="8"/>
      <c r="M51" s="18" t="str">
        <f>IF(OR(C51="",Q51=""),"",Q51*IFERROR(VLOOKUP(C51,Paramétrage!$A$30:$G$41,3,FALSE),0)*(1+Paramétrage!$G$12))</f>
        <v/>
      </c>
      <c r="N51" s="18" t="str">
        <f>IF(OR(E51="",Q51=""),"",Q51*IFERROR(VLOOKUP(E51,Paramétrage!$J$30:$P$41,4,FALSE),Paramétrage!$G$10))</f>
        <v/>
      </c>
      <c r="O51" s="18" t="str">
        <f>IF(OR(M51="",N51=""),"",N51-M51-IF(K51="",0,K51*IFERROR(VLOOKUP(E51,Paramétrage!$J$30:$P$41,4,FALSE),Paramétrage!$G$10)))</f>
        <v/>
      </c>
      <c r="P51" s="15" t="str">
        <f>IF(E51="","",IF(O51&lt;0,"Rentabilité négative",IF(OR(N51&gt;VLOOKUP(E51,Paramétrage!$J$30:$P$41,6,FALSE)+VLOOKUP(E51,Paramétrage!$J$30:$P$41,7,FALSE),Q51&gt;VLOOKUP(E51,Paramétrage!$J$30:$P$41,5,FALSE)),"Avenant à prévoir","OK")))</f>
        <v/>
      </c>
      <c r="Q51" s="39" t="str">
        <f t="shared" si="1"/>
        <v/>
      </c>
      <c r="R51" s="40"/>
    </row>
    <row r="52" spans="1:22" x14ac:dyDescent="0.35">
      <c r="A52" s="15" t="str">
        <f t="shared" si="2"/>
        <v/>
      </c>
      <c r="B52" s="16"/>
      <c r="C52" s="12"/>
      <c r="D52" s="15" t="str">
        <f>IF(E52="","",IFERROR(VLOOKUP(E52,Paramétrage!$J$30:$P$41,2,FALSE),""))</f>
        <v/>
      </c>
      <c r="E52" s="12"/>
      <c r="F52" s="15" t="str">
        <f>IF(C52="","",IFERROR(VLOOKUP(C52,Paramétrage!$A$30:$G$41,2,FALSE),""))</f>
        <v/>
      </c>
      <c r="G52" s="3"/>
      <c r="H52" s="3"/>
      <c r="I52" s="6"/>
      <c r="J52" s="17" t="str">
        <f t="shared" si="0"/>
        <v/>
      </c>
      <c r="K52" s="13"/>
      <c r="L52" s="8"/>
      <c r="M52" s="18" t="str">
        <f>IF(OR(C52="",Q52=""),"",Q52*IFERROR(VLOOKUP(C52,Paramétrage!$A$30:$G$41,3,FALSE),0)*(1+Paramétrage!$G$12))</f>
        <v/>
      </c>
      <c r="N52" s="18" t="str">
        <f>IF(OR(E52="",Q52=""),"",Q52*IFERROR(VLOOKUP(E52,Paramétrage!$J$30:$P$41,4,FALSE),Paramétrage!$G$10))</f>
        <v/>
      </c>
      <c r="O52" s="18" t="str">
        <f>IF(OR(M52="",N52=""),"",N52-M52-IF(K52="",0,K52*IFERROR(VLOOKUP(E52,Paramétrage!$J$30:$P$41,4,FALSE),Paramétrage!$G$10)))</f>
        <v/>
      </c>
      <c r="P52" s="15" t="str">
        <f>IF(E52="","",IF(O52&lt;0,"Rentabilité négative",IF(OR(N52&gt;VLOOKUP(E52,Paramétrage!$J$30:$P$41,6,FALSE)+VLOOKUP(E52,Paramétrage!$J$30:$P$41,7,FALSE),Q52&gt;VLOOKUP(E52,Paramétrage!$J$30:$P$41,5,FALSE)),"Avenant à prévoir","OK")))</f>
        <v/>
      </c>
      <c r="Q52" s="39" t="str">
        <f t="shared" si="1"/>
        <v/>
      </c>
      <c r="R52" s="40"/>
    </row>
    <row r="53" spans="1:22" x14ac:dyDescent="0.35">
      <c r="A53" s="15" t="str">
        <f t="shared" si="2"/>
        <v/>
      </c>
      <c r="B53" s="16"/>
      <c r="C53" s="12"/>
      <c r="D53" s="15" t="str">
        <f>IF(E53="","",IFERROR(VLOOKUP(E53,Paramétrage!$J$30:$P$41,2,FALSE),""))</f>
        <v/>
      </c>
      <c r="E53" s="12"/>
      <c r="F53" s="15" t="str">
        <f>IF(C53="","",IFERROR(VLOOKUP(C53,Paramétrage!$A$30:$G$41,2,FALSE),""))</f>
        <v/>
      </c>
      <c r="G53" s="3"/>
      <c r="H53" s="3"/>
      <c r="I53" s="6"/>
      <c r="J53" s="17" t="str">
        <f t="shared" si="0"/>
        <v/>
      </c>
      <c r="K53" s="13"/>
      <c r="L53" s="8"/>
      <c r="M53" s="18" t="str">
        <f>IF(OR(C53="",Q53=""),"",Q53*IFERROR(VLOOKUP(C53,Paramétrage!$A$30:$G$41,3,FALSE),0)*(1+Paramétrage!$G$12))</f>
        <v/>
      </c>
      <c r="N53" s="18" t="str">
        <f>IF(OR(E53="",Q53=""),"",Q53*IFERROR(VLOOKUP(E53,Paramétrage!$J$30:$P$41,4,FALSE),Paramétrage!$G$10))</f>
        <v/>
      </c>
      <c r="O53" s="18" t="str">
        <f>IF(OR(M53="",N53=""),"",N53-M53-IF(K53="",0,K53*IFERROR(VLOOKUP(E53,Paramétrage!$J$30:$P$41,4,FALSE),Paramétrage!$G$10)))</f>
        <v/>
      </c>
      <c r="P53" s="15" t="str">
        <f>IF(E53="","",IF(O53&lt;0,"Rentabilité négative",IF(OR(N53&gt;VLOOKUP(E53,Paramétrage!$J$30:$P$41,6,FALSE)+VLOOKUP(E53,Paramétrage!$J$30:$P$41,7,FALSE),Q53&gt;VLOOKUP(E53,Paramétrage!$J$30:$P$41,5,FALSE)),"Avenant à prévoir","OK")))</f>
        <v/>
      </c>
      <c r="Q53" s="39" t="str">
        <f t="shared" si="1"/>
        <v/>
      </c>
      <c r="R53" s="40"/>
    </row>
    <row r="54" spans="1:22" x14ac:dyDescent="0.35">
      <c r="A54" s="15" t="str">
        <f t="shared" si="2"/>
        <v/>
      </c>
      <c r="B54" s="16"/>
      <c r="C54" s="12"/>
      <c r="D54" s="15" t="str">
        <f>IF(E54="","",IFERROR(VLOOKUP(E54,Paramétrage!$J$30:$P$41,2,FALSE),""))</f>
        <v/>
      </c>
      <c r="E54" s="12"/>
      <c r="F54" s="15" t="str">
        <f>IF(C54="","",IFERROR(VLOOKUP(C54,Paramétrage!$A$30:$G$41,2,FALSE),""))</f>
        <v/>
      </c>
      <c r="G54" s="3"/>
      <c r="H54" s="3"/>
      <c r="I54" s="6"/>
      <c r="J54" s="17" t="str">
        <f t="shared" si="0"/>
        <v/>
      </c>
      <c r="K54" s="13"/>
      <c r="L54" s="8"/>
      <c r="M54" s="18" t="str">
        <f>IF(OR(C54="",Q54=""),"",Q54*IFERROR(VLOOKUP(C54,Paramétrage!$A$30:$G$41,3,FALSE),0)*(1+Paramétrage!$G$12))</f>
        <v/>
      </c>
      <c r="N54" s="18" t="str">
        <f>IF(OR(E54="",Q54=""),"",Q54*IFERROR(VLOOKUP(E54,Paramétrage!$J$30:$P$41,4,FALSE),Paramétrage!$G$10))</f>
        <v/>
      </c>
      <c r="O54" s="18" t="str">
        <f>IF(OR(M54="",N54=""),"",N54-M54-IF(K54="",0,K54*IFERROR(VLOOKUP(E54,Paramétrage!$J$30:$P$41,4,FALSE),Paramétrage!$G$10)))</f>
        <v/>
      </c>
      <c r="P54" s="15" t="str">
        <f>IF(E54="","",IF(O54&lt;0,"Rentabilité négative",IF(OR(N54&gt;VLOOKUP(E54,Paramétrage!$J$30:$P$41,6,FALSE)+VLOOKUP(E54,Paramétrage!$J$30:$P$41,7,FALSE),Q54&gt;VLOOKUP(E54,Paramétrage!$J$30:$P$41,5,FALSE)),"Avenant à prévoir","OK")))</f>
        <v/>
      </c>
      <c r="Q54" s="39" t="str">
        <f t="shared" si="1"/>
        <v/>
      </c>
      <c r="R54" s="40"/>
    </row>
    <row r="55" spans="1:22" x14ac:dyDescent="0.35">
      <c r="A55" s="15" t="str">
        <f t="shared" si="2"/>
        <v/>
      </c>
      <c r="B55" s="16"/>
      <c r="C55" s="12"/>
      <c r="D55" s="15" t="str">
        <f>IF(E55="","",IFERROR(VLOOKUP(E55,Paramétrage!$J$30:$P$41,2,FALSE),""))</f>
        <v/>
      </c>
      <c r="E55" s="12"/>
      <c r="F55" s="15" t="str">
        <f>IF(C55="","",IFERROR(VLOOKUP(C55,Paramétrage!$A$30:$G$41,2,FALSE),""))</f>
        <v/>
      </c>
      <c r="G55" s="3"/>
      <c r="H55" s="3"/>
      <c r="I55" s="6"/>
      <c r="J55" s="17" t="str">
        <f t="shared" si="0"/>
        <v/>
      </c>
      <c r="K55" s="13"/>
      <c r="L55" s="8"/>
      <c r="M55" s="18" t="str">
        <f>IF(OR(C55="",Q55=""),"",Q55*IFERROR(VLOOKUP(C55,Paramétrage!$A$30:$G$41,3,FALSE),0)*(1+Paramétrage!$G$12))</f>
        <v/>
      </c>
      <c r="N55" s="18" t="str">
        <f>IF(OR(E55="",Q55=""),"",Q55*IFERROR(VLOOKUP(E55,Paramétrage!$J$30:$P$41,4,FALSE),Paramétrage!$G$10))</f>
        <v/>
      </c>
      <c r="O55" s="18" t="str">
        <f>IF(OR(M55="",N55=""),"",N55-M55-IF(K55="",0,K55*IFERROR(VLOOKUP(E55,Paramétrage!$J$30:$P$41,4,FALSE),Paramétrage!$G$10)))</f>
        <v/>
      </c>
      <c r="P55" s="15" t="str">
        <f>IF(E55="","",IF(O55&lt;0,"Rentabilité négative",IF(OR(N55&gt;VLOOKUP(E55,Paramétrage!$J$30:$P$41,6,FALSE)+VLOOKUP(E55,Paramétrage!$J$30:$P$41,7,FALSE),Q55&gt;VLOOKUP(E55,Paramétrage!$J$30:$P$41,5,FALSE)),"Avenant à prévoir","OK")))</f>
        <v/>
      </c>
      <c r="Q55" s="39" t="str">
        <f t="shared" si="1"/>
        <v/>
      </c>
      <c r="R55" s="40"/>
    </row>
    <row r="56" spans="1:22" x14ac:dyDescent="0.35">
      <c r="A56" s="15" t="str">
        <f t="shared" si="2"/>
        <v/>
      </c>
      <c r="B56" s="16"/>
      <c r="C56" s="12"/>
      <c r="D56" s="15" t="str">
        <f>IF(E56="","",IFERROR(VLOOKUP(E56,Paramétrage!$J$30:$P$41,2,FALSE),""))</f>
        <v/>
      </c>
      <c r="E56" s="12"/>
      <c r="F56" s="15" t="str">
        <f>IF(C56="","",IFERROR(VLOOKUP(C56,Paramétrage!$A$30:$G$41,2,FALSE),""))</f>
        <v/>
      </c>
      <c r="G56" s="3"/>
      <c r="H56" s="3"/>
      <c r="I56" s="6"/>
      <c r="J56" s="17" t="str">
        <f t="shared" si="0"/>
        <v/>
      </c>
      <c r="K56" s="13"/>
      <c r="L56" s="8"/>
      <c r="M56" s="18" t="str">
        <f>IF(OR(C56="",Q56=""),"",Q56*IFERROR(VLOOKUP(C56,Paramétrage!$A$30:$G$41,3,FALSE),0)*(1+Paramétrage!$G$12))</f>
        <v/>
      </c>
      <c r="N56" s="18" t="str">
        <f>IF(OR(E56="",Q56=""),"",Q56*IFERROR(VLOOKUP(E56,Paramétrage!$J$30:$P$41,4,FALSE),Paramétrage!$G$10))</f>
        <v/>
      </c>
      <c r="O56" s="18" t="str">
        <f>IF(OR(M56="",N56=""),"",N56-M56-IF(K56="",0,K56*IFERROR(VLOOKUP(E56,Paramétrage!$J$30:$P$41,4,FALSE),Paramétrage!$G$10)))</f>
        <v/>
      </c>
      <c r="P56" s="15" t="str">
        <f>IF(E56="","",IF(O56&lt;0,"Rentabilité négative",IF(OR(N56&gt;VLOOKUP(E56,Paramétrage!$J$30:$P$41,6,FALSE)+VLOOKUP(E56,Paramétrage!$J$30:$P$41,7,FALSE),Q56&gt;VLOOKUP(E56,Paramétrage!$J$30:$P$41,5,FALSE)),"Avenant à prévoir","OK")))</f>
        <v/>
      </c>
      <c r="Q56" s="39" t="str">
        <f t="shared" si="1"/>
        <v/>
      </c>
      <c r="R56" s="40"/>
    </row>
    <row r="57" spans="1:22" x14ac:dyDescent="0.35">
      <c r="A57" s="15" t="str">
        <f t="shared" si="2"/>
        <v/>
      </c>
      <c r="B57" s="16"/>
      <c r="C57" s="12"/>
      <c r="D57" s="15" t="str">
        <f>IF(E57="","",IFERROR(VLOOKUP(E57,Paramétrage!$J$30:$P$41,2,FALSE),""))</f>
        <v/>
      </c>
      <c r="E57" s="12"/>
      <c r="F57" s="15" t="str">
        <f>IF(C57="","",IFERROR(VLOOKUP(C57,Paramétrage!$A$30:$G$41,2,FALSE),""))</f>
        <v/>
      </c>
      <c r="G57" s="3"/>
      <c r="H57" s="3"/>
      <c r="I57" s="6"/>
      <c r="J57" s="17" t="str">
        <f t="shared" si="0"/>
        <v/>
      </c>
      <c r="K57" s="13"/>
      <c r="L57" s="8"/>
      <c r="M57" s="18" t="str">
        <f>IF(OR(C57="",Q57=""),"",Q57*IFERROR(VLOOKUP(C57,Paramétrage!$A$30:$G$41,3,FALSE),0)*(1+Paramétrage!$G$12))</f>
        <v/>
      </c>
      <c r="N57" s="18" t="str">
        <f>IF(OR(E57="",Q57=""),"",Q57*IFERROR(VLOOKUP(E57,Paramétrage!$J$30:$P$41,4,FALSE),Paramétrage!$G$10))</f>
        <v/>
      </c>
      <c r="O57" s="18" t="str">
        <f>IF(OR(M57="",N57=""),"",N57-M57-IF(K57="",0,K57*IFERROR(VLOOKUP(E57,Paramétrage!$J$30:$P$41,4,FALSE),Paramétrage!$G$10)))</f>
        <v/>
      </c>
      <c r="P57" s="15" t="str">
        <f>IF(E57="","",IF(O57&lt;0,"Rentabilité négative",IF(OR(N57&gt;VLOOKUP(E57,Paramétrage!$J$30:$P$41,6,FALSE)+VLOOKUP(E57,Paramétrage!$J$30:$P$41,7,FALSE),Q57&gt;VLOOKUP(E57,Paramétrage!$J$30:$P$41,5,FALSE)),"Avenant à prévoir","OK")))</f>
        <v/>
      </c>
      <c r="Q57" s="39" t="str">
        <f t="shared" si="1"/>
        <v/>
      </c>
      <c r="R57" s="40"/>
    </row>
    <row r="58" spans="1:22" x14ac:dyDescent="0.35">
      <c r="A58" s="15" t="str">
        <f t="shared" si="2"/>
        <v/>
      </c>
      <c r="B58" s="16"/>
      <c r="C58" s="12"/>
      <c r="D58" s="15" t="str">
        <f>IF(E58="","",IFERROR(VLOOKUP(E58,Paramétrage!$J$30:$P$41,2,FALSE),""))</f>
        <v/>
      </c>
      <c r="E58" s="12"/>
      <c r="F58" s="15" t="str">
        <f>IF(C58="","",IFERROR(VLOOKUP(C58,Paramétrage!$A$30:$G$41,2,FALSE),""))</f>
        <v/>
      </c>
      <c r="G58" s="3"/>
      <c r="H58" s="3"/>
      <c r="I58" s="6"/>
      <c r="J58" s="17" t="str">
        <f t="shared" si="0"/>
        <v/>
      </c>
      <c r="K58" s="13"/>
      <c r="L58" s="8"/>
      <c r="M58" s="18" t="str">
        <f>IF(OR(C58="",Q58=""),"",Q58*IFERROR(VLOOKUP(C58,Paramétrage!$A$30:$G$41,3,FALSE),0)*(1+Paramétrage!$G$12))</f>
        <v/>
      </c>
      <c r="N58" s="18" t="str">
        <f>IF(OR(E58="",Q58=""),"",Q58*IFERROR(VLOOKUP(E58,Paramétrage!$J$30:$P$41,4,FALSE),Paramétrage!$G$10))</f>
        <v/>
      </c>
      <c r="O58" s="18" t="str">
        <f>IF(OR(M58="",N58=""),"",N58-M58-IF(K58="",0,K58*IFERROR(VLOOKUP(E58,Paramétrage!$J$30:$P$41,4,FALSE),Paramétrage!$G$10)))</f>
        <v/>
      </c>
      <c r="P58" s="15" t="str">
        <f>IF(E58="","",IF(O58&lt;0,"Rentabilité négative",IF(OR(N58&gt;VLOOKUP(E58,Paramétrage!$J$30:$P$41,6,FALSE)+VLOOKUP(E58,Paramétrage!$J$30:$P$41,7,FALSE),Q58&gt;VLOOKUP(E58,Paramétrage!$J$30:$P$41,5,FALSE)),"Avenant à prévoir","OK")))</f>
        <v/>
      </c>
      <c r="Q58" s="39" t="str">
        <f t="shared" si="1"/>
        <v/>
      </c>
      <c r="R58" s="40"/>
    </row>
    <row r="62" spans="1:22" x14ac:dyDescent="0.35">
      <c r="A62" s="26" t="s">
        <v>41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2" x14ac:dyDescent="0.35">
      <c r="A63" s="27" t="s">
        <v>70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1:22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6" spans="1:22" x14ac:dyDescent="0.35">
      <c r="A66" s="28" t="s">
        <v>71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</sheetData>
  <sheetProtection formatCells="0" formatColumns="0" formatRows="0" insertRows="0" deleteRows="0" sort="0" autoFilter="0"/>
  <mergeCells count="19">
    <mergeCell ref="A62:V62"/>
    <mergeCell ref="A63:V64"/>
    <mergeCell ref="A66:V66"/>
    <mergeCell ref="S13:T13"/>
    <mergeCell ref="U12:V12"/>
    <mergeCell ref="U13:V13"/>
    <mergeCell ref="S14:T14"/>
    <mergeCell ref="S15:T15"/>
    <mergeCell ref="U14:V14"/>
    <mergeCell ref="U15:V15"/>
    <mergeCell ref="S10:T10"/>
    <mergeCell ref="S11:T11"/>
    <mergeCell ref="U10:V10"/>
    <mergeCell ref="U11:V11"/>
    <mergeCell ref="S12:T12"/>
    <mergeCell ref="A1:V2"/>
    <mergeCell ref="A3:V3"/>
    <mergeCell ref="A5:I6"/>
    <mergeCell ref="J5:V6"/>
  </mergeCells>
  <conditionalFormatting sqref="P9:P58">
    <cfRule type="containsText" dxfId="2" priority="1" operator="containsText" text="OK">
      <formula>NOT(ISERROR(SEARCH("OK",P9)))</formula>
    </cfRule>
    <cfRule type="containsText" dxfId="1" priority="2" operator="containsText" text="Avenant à prévoir">
      <formula>NOT(ISERROR(SEARCH("Avenant à prévoir",P9)))</formula>
    </cfRule>
    <cfRule type="containsText" dxfId="0" priority="3" operator="containsText" text="Rentabilité négative">
      <formula>NOT(ISERROR(SEARCH("Rentabilité négative",P9)))</formula>
    </cfRule>
  </conditionalFormatting>
  <dataValidations count="3">
    <dataValidation type="list" allowBlank="1" showInputMessage="1" showErrorMessage="1" sqref="C9:C58" xr:uid="{00000000-0002-0000-0100-000000000000}">
      <formula1>ListeCollab</formula1>
    </dataValidation>
    <dataValidation type="list" allowBlank="1" showInputMessage="1" showErrorMessage="1" sqref="E9:E58" xr:uid="{00000000-0002-0000-0100-000001000000}">
      <formula1>ListeProjet</formula1>
    </dataValidation>
    <dataValidation type="list" allowBlank="1" showInputMessage="1" showErrorMessage="1" sqref="L9:L58" xr:uid="{00000000-0002-0000-0100-000002000000}">
      <formula1>"Accordé,Refusé,En attente"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showGridLines="0" workbookViewId="0">
      <selection activeCell="E11" sqref="E11:E22"/>
    </sheetView>
  </sheetViews>
  <sheetFormatPr baseColWidth="10" defaultColWidth="8.7265625" defaultRowHeight="14.5" x14ac:dyDescent="0.35"/>
  <cols>
    <col min="1" max="2" width="18.7265625" customWidth="1"/>
    <col min="3" max="4" width="14.7265625" customWidth="1"/>
    <col min="5" max="9" width="16.7265625" customWidth="1"/>
    <col min="10" max="10" width="18.7265625" customWidth="1"/>
    <col min="11" max="11" width="12.7265625" customWidth="1"/>
    <col min="14" max="14" width="13.36328125" bestFit="1" customWidth="1"/>
    <col min="15" max="15" width="10.6328125" customWidth="1"/>
    <col min="16" max="16" width="13.26953125" customWidth="1"/>
  </cols>
  <sheetData>
    <row r="1" spans="1:16" x14ac:dyDescent="0.35">
      <c r="A1" s="21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6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6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6" x14ac:dyDescent="0.35">
      <c r="A5" s="29" t="s">
        <v>73</v>
      </c>
      <c r="B5" s="29"/>
      <c r="C5" s="31" t="s">
        <v>65</v>
      </c>
      <c r="D5" s="31"/>
      <c r="E5" s="33" t="s">
        <v>66</v>
      </c>
      <c r="F5" s="33"/>
      <c r="G5" s="29" t="s">
        <v>67</v>
      </c>
      <c r="H5" s="29"/>
      <c r="I5" s="31" t="s">
        <v>74</v>
      </c>
      <c r="J5" s="31"/>
      <c r="K5" s="31"/>
    </row>
    <row r="6" spans="1:16" x14ac:dyDescent="0.35">
      <c r="A6" s="30" cm="1">
        <f t="array" ref="A6">SUMPRODUCT(--(A11:A22&lt;&gt;""))</f>
        <v>2</v>
      </c>
      <c r="B6" s="30"/>
      <c r="C6" s="32">
        <f>SUM(F11:F22)</f>
        <v>927.50000000000034</v>
      </c>
      <c r="D6" s="32"/>
      <c r="E6" s="32">
        <f>SUM(G11:G22)</f>
        <v>269.50000000000011</v>
      </c>
      <c r="F6" s="32"/>
      <c r="G6" s="32">
        <f>SUM(H11:H22)</f>
        <v>658.00000000000023</v>
      </c>
      <c r="H6" s="32"/>
      <c r="I6" s="35">
        <f>IFERROR(SUM(H11:H22)/SUM(F11:F22),0)</f>
        <v>0.7094339622641509</v>
      </c>
      <c r="J6" s="35"/>
      <c r="K6" s="35"/>
    </row>
    <row r="7" spans="1:16" x14ac:dyDescent="0.35">
      <c r="A7" s="30"/>
      <c r="B7" s="30"/>
      <c r="C7" s="32"/>
      <c r="D7" s="32"/>
      <c r="E7" s="32"/>
      <c r="F7" s="32"/>
      <c r="G7" s="32"/>
      <c r="H7" s="32"/>
      <c r="I7" s="35"/>
      <c r="J7" s="35"/>
      <c r="K7" s="35"/>
    </row>
    <row r="10" spans="1:16" ht="29" x14ac:dyDescent="0.35">
      <c r="A10" s="9" t="s">
        <v>31</v>
      </c>
      <c r="B10" s="10" t="s">
        <v>32</v>
      </c>
      <c r="C10" s="11" t="s">
        <v>34</v>
      </c>
      <c r="D10" s="11" t="s">
        <v>75</v>
      </c>
      <c r="E10" s="9" t="s">
        <v>76</v>
      </c>
      <c r="F10" s="10" t="s">
        <v>57</v>
      </c>
      <c r="G10" s="11" t="s">
        <v>77</v>
      </c>
      <c r="H10" s="9" t="s">
        <v>58</v>
      </c>
      <c r="I10" s="10" t="s">
        <v>78</v>
      </c>
      <c r="J10" s="11" t="s">
        <v>59</v>
      </c>
      <c r="K10" s="10" t="s">
        <v>79</v>
      </c>
      <c r="O10" s="9" t="s">
        <v>31</v>
      </c>
      <c r="P10" s="10" t="s">
        <v>91</v>
      </c>
    </row>
    <row r="11" spans="1:16" x14ac:dyDescent="0.35">
      <c r="A11" s="19" t="str">
        <f>IF(Paramétrage!J30="","",Paramétrage!J30)</f>
        <v>Projet X</v>
      </c>
      <c r="B11" s="19" t="str">
        <f>IF(A11="","",Paramétrage!K30)</f>
        <v>Client A</v>
      </c>
      <c r="C11" s="20">
        <f>IF(A11="","",Paramétrage!N30)</f>
        <v>40</v>
      </c>
      <c r="D11" s="20">
        <f>IF(A11="","",SUMIF('Suivi projets'!$E$9:$E$58,A11,'Suivi projets'!$Q$9:$Q$58))</f>
        <v>3.5</v>
      </c>
      <c r="E11" s="45">
        <f>IF(A11="","",Paramétrage!O30+Paramétrage!P30)</f>
        <v>3400</v>
      </c>
      <c r="F11" s="45">
        <f>IF(A11="","",SUMIF('Suivi projets'!$E$9:$E$58,A11,'Suivi projets'!$N$9:$N$58))</f>
        <v>297.5</v>
      </c>
      <c r="G11" s="18">
        <f>IF(A11="","",SUMIF('Suivi projets'!$E$9:$E$58,A11,'Suivi projets'!$M$9:$M$58))</f>
        <v>84.7</v>
      </c>
      <c r="H11" s="45">
        <f>IF(A11="","",F11-G11)</f>
        <v>212.8</v>
      </c>
      <c r="I11" s="45">
        <f>IF(A11="","",F11-E11)</f>
        <v>-3102.5</v>
      </c>
      <c r="J11" s="15" t="str">
        <f>IF(A11="","",IF(H11&lt;0,"Rentabilité négative",IF(OR(F11&gt;E11,D11&gt;C11),"Avenant à prévoir","OK")))</f>
        <v>OK</v>
      </c>
      <c r="K11" s="36">
        <f>IF(A11="","",COUNTIF('Suivi projets'!$E$9:$E$58,A11))</f>
        <v>1</v>
      </c>
      <c r="O11" s="44" t="str">
        <f>IF(A11="","",A11)</f>
        <v>Projet X</v>
      </c>
      <c r="P11" s="46">
        <f>IF(A11="","",E11-F11)</f>
        <v>3102.5</v>
      </c>
    </row>
    <row r="12" spans="1:16" x14ac:dyDescent="0.35">
      <c r="A12" s="19" t="str">
        <f>IF(Paramétrage!J31="","",Paramétrage!J31)</f>
        <v>Projet Y</v>
      </c>
      <c r="B12" s="19" t="str">
        <f>IF(A12="","",Paramétrage!K31)</f>
        <v>Client B</v>
      </c>
      <c r="C12" s="20">
        <f>IF(A12="","",Paramétrage!N31)</f>
        <v>60</v>
      </c>
      <c r="D12" s="20">
        <f>IF(A12="","",SUMIF('Suivi projets'!$E$9:$E$58,A12,'Suivi projets'!$Q$9:$Q$58))</f>
        <v>7.0000000000000036</v>
      </c>
      <c r="E12" s="45">
        <f>IF(A12="","",Paramétrage!O31+Paramétrage!P31)</f>
        <v>5400</v>
      </c>
      <c r="F12" s="45">
        <f>IF(A12="","",SUMIF('Suivi projets'!$E$9:$E$58,A12,'Suivi projets'!$N$9:$N$58))</f>
        <v>630.00000000000034</v>
      </c>
      <c r="G12" s="18">
        <f>IF(A12="","",SUMIF('Suivi projets'!$E$9:$E$58,A12,'Suivi projets'!$M$9:$M$58))</f>
        <v>184.8000000000001</v>
      </c>
      <c r="H12" s="45">
        <f t="shared" ref="H12:H22" si="0">IF(A12="","",F12-G12)</f>
        <v>445.20000000000027</v>
      </c>
      <c r="I12" s="45">
        <f t="shared" ref="I12:I22" si="1">IF(A12="","",F12-E12)</f>
        <v>-4770</v>
      </c>
      <c r="J12" s="15" t="str">
        <f t="shared" ref="J12:J22" si="2">IF(A12="","",IF(H12&lt;0,"Rentabilité négative",IF(OR(F12&gt;E12,D12&gt;C12),"Avenant à prévoir","OK")))</f>
        <v>OK</v>
      </c>
      <c r="K12" s="36">
        <f>IF(A12="","",COUNTIF('Suivi projets'!$E$9:$E$58,A12))</f>
        <v>1</v>
      </c>
      <c r="O12" s="44" t="str">
        <f>IF(A12="","",A12)</f>
        <v>Projet Y</v>
      </c>
      <c r="P12" s="46">
        <f>IF(A12="","",E12-F12)</f>
        <v>4770</v>
      </c>
    </row>
    <row r="13" spans="1:16" x14ac:dyDescent="0.35">
      <c r="A13" s="19" t="str">
        <f>IF(Paramétrage!J32="","",Paramétrage!J32)</f>
        <v/>
      </c>
      <c r="B13" s="19" t="str">
        <f>IF(A13="","",Paramétrage!K32)</f>
        <v/>
      </c>
      <c r="C13" s="20" t="str">
        <f>IF(A13="","",Paramétrage!N32)</f>
        <v/>
      </c>
      <c r="D13" s="20" t="str">
        <f>IF(A13="","",SUMIF('Suivi projets'!$E$9:$E$58,A13,'Suivi projets'!$Q$9:$Q$58))</f>
        <v/>
      </c>
      <c r="E13" s="45" t="str">
        <f>IF(A13="","",Paramétrage!O32+Paramétrage!P32)</f>
        <v/>
      </c>
      <c r="F13" s="45" t="str">
        <f>IF(A13="","",SUMIF('Suivi projets'!$E$9:$E$58,A13,'Suivi projets'!$N$9:$N$58))</f>
        <v/>
      </c>
      <c r="G13" s="18" t="str">
        <f>IF(A13="","",SUMIF('Suivi projets'!$E$9:$E$58,A13,'Suivi projets'!$M$9:$M$58))</f>
        <v/>
      </c>
      <c r="H13" s="45" t="str">
        <f t="shared" si="0"/>
        <v/>
      </c>
      <c r="I13" s="45" t="str">
        <f t="shared" si="1"/>
        <v/>
      </c>
      <c r="J13" s="15" t="str">
        <f t="shared" si="2"/>
        <v/>
      </c>
      <c r="K13" s="36" t="str">
        <f>IF(A13="","",COUNTIF('Suivi projets'!$E$9:$E$58,A13))</f>
        <v/>
      </c>
      <c r="O13" s="44" t="str">
        <f>IF(A13="","",A13)</f>
        <v/>
      </c>
      <c r="P13" s="46" t="str">
        <f>IF(A13="","",E13-F13)</f>
        <v/>
      </c>
    </row>
    <row r="14" spans="1:16" x14ac:dyDescent="0.35">
      <c r="A14" s="19" t="str">
        <f>IF(Paramétrage!J33="","",Paramétrage!J33)</f>
        <v/>
      </c>
      <c r="B14" s="19" t="str">
        <f>IF(A14="","",Paramétrage!K33)</f>
        <v/>
      </c>
      <c r="C14" s="20" t="str">
        <f>IF(A14="","",Paramétrage!N33)</f>
        <v/>
      </c>
      <c r="D14" s="20" t="str">
        <f>IF(A14="","",SUMIF('Suivi projets'!$E$9:$E$58,A14,'Suivi projets'!$Q$9:$Q$58))</f>
        <v/>
      </c>
      <c r="E14" s="45" t="str">
        <f>IF(A14="","",Paramétrage!O33+Paramétrage!P33)</f>
        <v/>
      </c>
      <c r="F14" s="45" t="str">
        <f>IF(A14="","",SUMIF('Suivi projets'!$E$9:$E$58,A14,'Suivi projets'!$N$9:$N$58))</f>
        <v/>
      </c>
      <c r="G14" s="18" t="str">
        <f>IF(A14="","",SUMIF('Suivi projets'!$E$9:$E$58,A14,'Suivi projets'!$M$9:$M$58))</f>
        <v/>
      </c>
      <c r="H14" s="45" t="str">
        <f t="shared" si="0"/>
        <v/>
      </c>
      <c r="I14" s="45" t="str">
        <f t="shared" si="1"/>
        <v/>
      </c>
      <c r="J14" s="15" t="str">
        <f t="shared" si="2"/>
        <v/>
      </c>
      <c r="K14" s="36" t="str">
        <f>IF(A14="","",COUNTIF('Suivi projets'!$E$9:$E$58,A14))</f>
        <v/>
      </c>
      <c r="O14" s="44" t="str">
        <f>IF(A14="","",A14)</f>
        <v/>
      </c>
      <c r="P14" s="46" t="str">
        <f>IF(A14="","",E14-F14)</f>
        <v/>
      </c>
    </row>
    <row r="15" spans="1:16" x14ac:dyDescent="0.35">
      <c r="A15" s="19" t="str">
        <f>IF(Paramétrage!J34="","",Paramétrage!J34)</f>
        <v/>
      </c>
      <c r="B15" s="19" t="str">
        <f>IF(A15="","",Paramétrage!K34)</f>
        <v/>
      </c>
      <c r="C15" s="20" t="str">
        <f>IF(A15="","",Paramétrage!N34)</f>
        <v/>
      </c>
      <c r="D15" s="20" t="str">
        <f>IF(A15="","",SUMIF('Suivi projets'!$E$9:$E$58,A15,'Suivi projets'!$Q$9:$Q$58))</f>
        <v/>
      </c>
      <c r="E15" s="45" t="str">
        <f>IF(A15="","",Paramétrage!O34+Paramétrage!P34)</f>
        <v/>
      </c>
      <c r="F15" s="45" t="str">
        <f>IF(A15="","",SUMIF('Suivi projets'!$E$9:$E$58,A15,'Suivi projets'!$N$9:$N$58))</f>
        <v/>
      </c>
      <c r="G15" s="18" t="str">
        <f>IF(A15="","",SUMIF('Suivi projets'!$E$9:$E$58,A15,'Suivi projets'!$M$9:$M$58))</f>
        <v/>
      </c>
      <c r="H15" s="45" t="str">
        <f t="shared" si="0"/>
        <v/>
      </c>
      <c r="I15" s="45" t="str">
        <f t="shared" si="1"/>
        <v/>
      </c>
      <c r="J15" s="15" t="str">
        <f t="shared" si="2"/>
        <v/>
      </c>
      <c r="K15" s="36" t="str">
        <f>IF(A15="","",COUNTIF('Suivi projets'!$E$9:$E$58,A15))</f>
        <v/>
      </c>
      <c r="O15" s="44" t="str">
        <f>IF(A15="","",A15)</f>
        <v/>
      </c>
      <c r="P15" s="46" t="str">
        <f>IF(A15="","",E15-F15)</f>
        <v/>
      </c>
    </row>
    <row r="16" spans="1:16" x14ac:dyDescent="0.35">
      <c r="A16" s="19" t="str">
        <f>IF(Paramétrage!J35="","",Paramétrage!J35)</f>
        <v/>
      </c>
      <c r="B16" s="19" t="str">
        <f>IF(A16="","",Paramétrage!K35)</f>
        <v/>
      </c>
      <c r="C16" s="20" t="str">
        <f>IF(A16="","",Paramétrage!N35)</f>
        <v/>
      </c>
      <c r="D16" s="20" t="str">
        <f>IF(A16="","",SUMIF('Suivi projets'!$E$9:$E$58,A16,'Suivi projets'!$Q$9:$Q$58))</f>
        <v/>
      </c>
      <c r="E16" s="45" t="str">
        <f>IF(A16="","",Paramétrage!O35+Paramétrage!P35)</f>
        <v/>
      </c>
      <c r="F16" s="45" t="str">
        <f>IF(A16="","",SUMIF('Suivi projets'!$E$9:$E$58,A16,'Suivi projets'!$N$9:$N$58))</f>
        <v/>
      </c>
      <c r="G16" s="18" t="str">
        <f>IF(A16="","",SUMIF('Suivi projets'!$E$9:$E$58,A16,'Suivi projets'!$M$9:$M$58))</f>
        <v/>
      </c>
      <c r="H16" s="45" t="str">
        <f t="shared" si="0"/>
        <v/>
      </c>
      <c r="I16" s="45" t="str">
        <f t="shared" si="1"/>
        <v/>
      </c>
      <c r="J16" s="15" t="str">
        <f t="shared" si="2"/>
        <v/>
      </c>
      <c r="K16" s="36" t="str">
        <f>IF(A16="","",COUNTIF('Suivi projets'!$E$9:$E$58,A16))</f>
        <v/>
      </c>
      <c r="O16" s="44" t="str">
        <f>IF(A16="","",A16)</f>
        <v/>
      </c>
      <c r="P16" s="46" t="str">
        <f>IF(A16="","",E16-F16)</f>
        <v/>
      </c>
    </row>
    <row r="17" spans="1:16" x14ac:dyDescent="0.35">
      <c r="A17" s="19" t="str">
        <f>IF(Paramétrage!J36="","",Paramétrage!J36)</f>
        <v/>
      </c>
      <c r="B17" s="19" t="str">
        <f>IF(A17="","",Paramétrage!K36)</f>
        <v/>
      </c>
      <c r="C17" s="20" t="str">
        <f>IF(A17="","",Paramétrage!N36)</f>
        <v/>
      </c>
      <c r="D17" s="20" t="str">
        <f>IF(A17="","",SUMIF('Suivi projets'!$E$9:$E$58,A17,'Suivi projets'!$Q$9:$Q$58))</f>
        <v/>
      </c>
      <c r="E17" s="45" t="str">
        <f>IF(A17="","",Paramétrage!O36+Paramétrage!P36)</f>
        <v/>
      </c>
      <c r="F17" s="45" t="str">
        <f>IF(A17="","",SUMIF('Suivi projets'!$E$9:$E$58,A17,'Suivi projets'!$N$9:$N$58))</f>
        <v/>
      </c>
      <c r="G17" s="18" t="str">
        <f>IF(A17="","",SUMIF('Suivi projets'!$E$9:$E$58,A17,'Suivi projets'!$M$9:$M$58))</f>
        <v/>
      </c>
      <c r="H17" s="45" t="str">
        <f t="shared" si="0"/>
        <v/>
      </c>
      <c r="I17" s="45" t="str">
        <f t="shared" si="1"/>
        <v/>
      </c>
      <c r="J17" s="15" t="str">
        <f t="shared" si="2"/>
        <v/>
      </c>
      <c r="K17" s="36" t="str">
        <f>IF(A17="","",COUNTIF('Suivi projets'!$E$9:$E$58,A17))</f>
        <v/>
      </c>
      <c r="O17" s="44" t="str">
        <f>IF(A17="","",A17)</f>
        <v/>
      </c>
      <c r="P17" s="46" t="str">
        <f>IF(A17="","",E17-F17)</f>
        <v/>
      </c>
    </row>
    <row r="18" spans="1:16" x14ac:dyDescent="0.35">
      <c r="A18" s="19" t="str">
        <f>IF(Paramétrage!J37="","",Paramétrage!J37)</f>
        <v/>
      </c>
      <c r="B18" s="19" t="str">
        <f>IF(A18="","",Paramétrage!K37)</f>
        <v/>
      </c>
      <c r="C18" s="20" t="str">
        <f>IF(A18="","",Paramétrage!N37)</f>
        <v/>
      </c>
      <c r="D18" s="20" t="str">
        <f>IF(A18="","",SUMIF('Suivi projets'!$E$9:$E$58,A18,'Suivi projets'!$Q$9:$Q$58))</f>
        <v/>
      </c>
      <c r="E18" s="45" t="str">
        <f>IF(A18="","",Paramétrage!O37+Paramétrage!P37)</f>
        <v/>
      </c>
      <c r="F18" s="45" t="str">
        <f>IF(A18="","",SUMIF('Suivi projets'!$E$9:$E$58,A18,'Suivi projets'!$N$9:$N$58))</f>
        <v/>
      </c>
      <c r="G18" s="18" t="str">
        <f>IF(A18="","",SUMIF('Suivi projets'!$E$9:$E$58,A18,'Suivi projets'!$M$9:$M$58))</f>
        <v/>
      </c>
      <c r="H18" s="45" t="str">
        <f t="shared" si="0"/>
        <v/>
      </c>
      <c r="I18" s="45" t="str">
        <f t="shared" si="1"/>
        <v/>
      </c>
      <c r="J18" s="15" t="str">
        <f t="shared" si="2"/>
        <v/>
      </c>
      <c r="K18" s="36" t="str">
        <f>IF(A18="","",COUNTIF('Suivi projets'!$E$9:$E$58,A18))</f>
        <v/>
      </c>
      <c r="O18" s="44" t="str">
        <f>IF(A18="","",A18)</f>
        <v/>
      </c>
      <c r="P18" s="46" t="str">
        <f>IF(A18="","",E18-F18)</f>
        <v/>
      </c>
    </row>
    <row r="19" spans="1:16" x14ac:dyDescent="0.35">
      <c r="A19" s="19" t="str">
        <f>IF(Paramétrage!J38="","",Paramétrage!J38)</f>
        <v/>
      </c>
      <c r="B19" s="19" t="str">
        <f>IF(A19="","",Paramétrage!K38)</f>
        <v/>
      </c>
      <c r="C19" s="20" t="str">
        <f>IF(A19="","",Paramétrage!N38)</f>
        <v/>
      </c>
      <c r="D19" s="20" t="str">
        <f>IF(A19="","",SUMIF('Suivi projets'!$E$9:$E$58,A19,'Suivi projets'!$Q$9:$Q$58))</f>
        <v/>
      </c>
      <c r="E19" s="45" t="str">
        <f>IF(A19="","",Paramétrage!O38+Paramétrage!P38)</f>
        <v/>
      </c>
      <c r="F19" s="45" t="str">
        <f>IF(A19="","",SUMIF('Suivi projets'!$E$9:$E$58,A19,'Suivi projets'!$N$9:$N$58))</f>
        <v/>
      </c>
      <c r="G19" s="18" t="str">
        <f>IF(A19="","",SUMIF('Suivi projets'!$E$9:$E$58,A19,'Suivi projets'!$M$9:$M$58))</f>
        <v/>
      </c>
      <c r="H19" s="45" t="str">
        <f t="shared" si="0"/>
        <v/>
      </c>
      <c r="I19" s="45" t="str">
        <f t="shared" si="1"/>
        <v/>
      </c>
      <c r="J19" s="15" t="str">
        <f t="shared" si="2"/>
        <v/>
      </c>
      <c r="K19" s="36" t="str">
        <f>IF(A19="","",COUNTIF('Suivi projets'!$E$9:$E$58,A19))</f>
        <v/>
      </c>
      <c r="O19" s="44" t="str">
        <f>IF(A19="","",A19)</f>
        <v/>
      </c>
      <c r="P19" s="46" t="str">
        <f>IF(A19="","",E19-F19)</f>
        <v/>
      </c>
    </row>
    <row r="20" spans="1:16" x14ac:dyDescent="0.35">
      <c r="A20" s="19" t="str">
        <f>IF(Paramétrage!J39="","",Paramétrage!J39)</f>
        <v/>
      </c>
      <c r="B20" s="19" t="str">
        <f>IF(A20="","",Paramétrage!K39)</f>
        <v/>
      </c>
      <c r="C20" s="20" t="str">
        <f>IF(A20="","",Paramétrage!N39)</f>
        <v/>
      </c>
      <c r="D20" s="20" t="str">
        <f>IF(A20="","",SUMIF('Suivi projets'!$E$9:$E$58,A20,'Suivi projets'!$Q$9:$Q$58))</f>
        <v/>
      </c>
      <c r="E20" s="45" t="str">
        <f>IF(A20="","",Paramétrage!O39+Paramétrage!P39)</f>
        <v/>
      </c>
      <c r="F20" s="45" t="str">
        <f>IF(A20="","",SUMIF('Suivi projets'!$E$9:$E$58,A20,'Suivi projets'!$N$9:$N$58))</f>
        <v/>
      </c>
      <c r="G20" s="18" t="str">
        <f>IF(A20="","",SUMIF('Suivi projets'!$E$9:$E$58,A20,'Suivi projets'!$M$9:$M$58))</f>
        <v/>
      </c>
      <c r="H20" s="45" t="str">
        <f t="shared" si="0"/>
        <v/>
      </c>
      <c r="I20" s="45" t="str">
        <f t="shared" si="1"/>
        <v/>
      </c>
      <c r="J20" s="15" t="str">
        <f t="shared" si="2"/>
        <v/>
      </c>
      <c r="K20" s="36" t="str">
        <f>IF(A20="","",COUNTIF('Suivi projets'!$E$9:$E$58,A20))</f>
        <v/>
      </c>
      <c r="O20" s="44" t="str">
        <f>IF(A20="","",A20)</f>
        <v/>
      </c>
      <c r="P20" s="46" t="str">
        <f>IF(A20="","",E20-F20)</f>
        <v/>
      </c>
    </row>
    <row r="21" spans="1:16" x14ac:dyDescent="0.35">
      <c r="A21" s="19" t="str">
        <f>IF(Paramétrage!J40="","",Paramétrage!J40)</f>
        <v/>
      </c>
      <c r="B21" s="19" t="str">
        <f>IF(A21="","",Paramétrage!K40)</f>
        <v/>
      </c>
      <c r="C21" s="20" t="str">
        <f>IF(A21="","",Paramétrage!N40)</f>
        <v/>
      </c>
      <c r="D21" s="20" t="str">
        <f>IF(A21="","",SUMIF('Suivi projets'!$E$9:$E$58,A21,'Suivi projets'!$Q$9:$Q$58))</f>
        <v/>
      </c>
      <c r="E21" s="45" t="str">
        <f>IF(A21="","",Paramétrage!O40+Paramétrage!P40)</f>
        <v/>
      </c>
      <c r="F21" s="45" t="str">
        <f>IF(A21="","",SUMIF('Suivi projets'!$E$9:$E$58,A21,'Suivi projets'!$N$9:$N$58))</f>
        <v/>
      </c>
      <c r="G21" s="18" t="str">
        <f>IF(A21="","",SUMIF('Suivi projets'!$E$9:$E$58,A21,'Suivi projets'!$M$9:$M$58))</f>
        <v/>
      </c>
      <c r="H21" s="45" t="str">
        <f t="shared" si="0"/>
        <v/>
      </c>
      <c r="I21" s="45" t="str">
        <f t="shared" si="1"/>
        <v/>
      </c>
      <c r="J21" s="15" t="str">
        <f t="shared" si="2"/>
        <v/>
      </c>
      <c r="K21" s="36" t="str">
        <f>IF(A21="","",COUNTIF('Suivi projets'!$E$9:$E$58,A21))</f>
        <v/>
      </c>
      <c r="O21" s="44" t="str">
        <f>IF(A21="","",A21)</f>
        <v/>
      </c>
      <c r="P21" s="46" t="str">
        <f>IF(A21="","",E21-F21)</f>
        <v/>
      </c>
    </row>
    <row r="22" spans="1:16" x14ac:dyDescent="0.35">
      <c r="A22" s="19" t="str">
        <f>IF(Paramétrage!J41="","",Paramétrage!J41)</f>
        <v/>
      </c>
      <c r="B22" s="19" t="str">
        <f>IF(A22="","",Paramétrage!K41)</f>
        <v/>
      </c>
      <c r="C22" s="20" t="str">
        <f>IF(A22="","",Paramétrage!N41)</f>
        <v/>
      </c>
      <c r="D22" s="20" t="str">
        <f>IF(A22="","",SUMIF('Suivi projets'!$E$9:$E$58,A22,'Suivi projets'!$Q$9:$Q$58))</f>
        <v/>
      </c>
      <c r="E22" s="45" t="str">
        <f>IF(A22="","",Paramétrage!O41+Paramétrage!P41)</f>
        <v/>
      </c>
      <c r="F22" s="45" t="str">
        <f>IF(A22="","",SUMIF('Suivi projets'!$E$9:$E$58,A22,'Suivi projets'!$N$9:$N$58))</f>
        <v/>
      </c>
      <c r="G22" s="18" t="str">
        <f>IF(A22="","",SUMIF('Suivi projets'!$E$9:$E$58,A22,'Suivi projets'!$M$9:$M$58))</f>
        <v/>
      </c>
      <c r="H22" s="45" t="str">
        <f t="shared" si="0"/>
        <v/>
      </c>
      <c r="I22" s="45" t="str">
        <f t="shared" si="1"/>
        <v/>
      </c>
      <c r="J22" s="15" t="str">
        <f t="shared" si="2"/>
        <v/>
      </c>
      <c r="K22" s="36" t="str">
        <f>IF(A22="","",COUNTIF('Suivi projets'!$E$9:$E$58,A22))</f>
        <v/>
      </c>
      <c r="O22" s="44" t="str">
        <f>IF(A22="","",A22)</f>
        <v/>
      </c>
      <c r="P22" s="46" t="str">
        <f>IF(A22="","",E22-F22)</f>
        <v/>
      </c>
    </row>
    <row r="44" spans="1:11" ht="14.5" customHeight="1" x14ac:dyDescent="0.35"/>
    <row r="46" spans="1:11" x14ac:dyDescent="0.35">
      <c r="A46" s="25" t="s">
        <v>80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35">
      <c r="A47" s="23" t="s">
        <v>81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50" spans="1:11" x14ac:dyDescent="0.35">
      <c r="A50" s="26" t="s">
        <v>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x14ac:dyDescent="0.35">
      <c r="A51" s="27" t="s">
        <v>82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</sheetData>
  <sheetProtection formatCells="0" formatColumns="0" formatRows="0" insertRows="0" deleteRows="0" sort="0" autoFilter="0"/>
  <mergeCells count="16">
    <mergeCell ref="A46:K46"/>
    <mergeCell ref="A47:K48"/>
    <mergeCell ref="A50:K50"/>
    <mergeCell ref="A51:K52"/>
    <mergeCell ref="A1:K2"/>
    <mergeCell ref="A3:K3"/>
    <mergeCell ref="A5:B5"/>
    <mergeCell ref="A6:B7"/>
    <mergeCell ref="C5:D5"/>
    <mergeCell ref="C6:D7"/>
    <mergeCell ref="E5:F5"/>
    <mergeCell ref="E6:F7"/>
    <mergeCell ref="G5:H5"/>
    <mergeCell ref="G6:H7"/>
    <mergeCell ref="I5:K5"/>
    <mergeCell ref="I6:K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showGridLines="0" tabSelected="1" workbookViewId="0">
      <selection activeCell="G8" sqref="G8"/>
    </sheetView>
  </sheetViews>
  <sheetFormatPr baseColWidth="10" defaultColWidth="8.7265625" defaultRowHeight="14.5" x14ac:dyDescent="0.35"/>
  <cols>
    <col min="1" max="1" width="18.7265625" customWidth="1"/>
    <col min="2" max="2" width="12.7265625" customWidth="1"/>
    <col min="3" max="3" width="14.7265625" customWidth="1"/>
    <col min="4" max="4" width="4.7265625" customWidth="1"/>
    <col min="5" max="5" width="18.7265625" customWidth="1"/>
    <col min="6" max="6" width="12.7265625" customWidth="1"/>
    <col min="7" max="7" width="14.7265625" customWidth="1"/>
    <col min="8" max="8" width="4.7265625" customWidth="1"/>
    <col min="9" max="9" width="18.7265625" customWidth="1"/>
    <col min="10" max="10" width="12.7265625" customWidth="1"/>
    <col min="11" max="11" width="14.7265625" customWidth="1"/>
  </cols>
  <sheetData>
    <row r="1" spans="1:11" x14ac:dyDescent="0.35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35">
      <c r="A3" s="22" t="s">
        <v>84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x14ac:dyDescent="0.35">
      <c r="A5" s="29" t="s">
        <v>79</v>
      </c>
      <c r="B5" s="29"/>
      <c r="C5" s="31" t="s">
        <v>85</v>
      </c>
      <c r="D5" s="31"/>
      <c r="E5" s="33" t="s">
        <v>67</v>
      </c>
      <c r="F5" s="33"/>
      <c r="G5" s="29" t="s">
        <v>86</v>
      </c>
      <c r="H5" s="29"/>
      <c r="I5" s="31" t="s">
        <v>68</v>
      </c>
      <c r="J5" s="31"/>
      <c r="K5" s="31"/>
    </row>
    <row r="6" spans="1:11" x14ac:dyDescent="0.35">
      <c r="A6" s="30">
        <f>COUNTIF('Suivi projets'!C9:C58,"&lt;&gt;")</f>
        <v>2</v>
      </c>
      <c r="B6" s="30"/>
      <c r="C6" s="34">
        <f>SUM('Suivi projets'!Q9:Q58)</f>
        <v>10.500000000000004</v>
      </c>
      <c r="D6" s="34"/>
      <c r="E6" s="38">
        <f>SUM('Suivi projets'!O9:O58)</f>
        <v>658.00000000000023</v>
      </c>
      <c r="F6" s="38"/>
      <c r="G6" s="30" cm="1">
        <f t="array" ref="G6">SUMPRODUCT(--(E11:E22&lt;&gt;""))</f>
        <v>2</v>
      </c>
      <c r="H6" s="30"/>
      <c r="I6" s="30">
        <f>COUNTIF('Suivi projets'!P9:P58,"Avenant à prévoir")+COUNTIF('Suivi projets'!P9:P58,"Rentabilité négative")</f>
        <v>0</v>
      </c>
      <c r="J6" s="30"/>
      <c r="K6" s="30"/>
    </row>
    <row r="7" spans="1:11" x14ac:dyDescent="0.35">
      <c r="A7" s="30"/>
      <c r="B7" s="30"/>
      <c r="C7" s="34"/>
      <c r="D7" s="34"/>
      <c r="E7" s="38"/>
      <c r="F7" s="38"/>
      <c r="G7" s="30"/>
      <c r="H7" s="30"/>
      <c r="I7" s="30"/>
      <c r="J7" s="30"/>
      <c r="K7" s="30"/>
    </row>
    <row r="10" spans="1:11" x14ac:dyDescent="0.35">
      <c r="A10" s="9" t="s">
        <v>17</v>
      </c>
      <c r="B10" s="10" t="s">
        <v>79</v>
      </c>
      <c r="C10" s="11" t="s">
        <v>87</v>
      </c>
      <c r="E10" s="9" t="s">
        <v>32</v>
      </c>
      <c r="F10" s="10" t="s">
        <v>79</v>
      </c>
      <c r="G10" s="11" t="s">
        <v>87</v>
      </c>
      <c r="I10" s="9" t="s">
        <v>31</v>
      </c>
      <c r="J10" s="10" t="s">
        <v>79</v>
      </c>
      <c r="K10" s="11" t="s">
        <v>58</v>
      </c>
    </row>
    <row r="11" spans="1:11" x14ac:dyDescent="0.35">
      <c r="A11" s="19" t="str">
        <f>IF(Paramétrage!A30="","",Paramétrage!A30)</f>
        <v>Collab 1</v>
      </c>
      <c r="B11" s="36">
        <f>IF(A11="","",COUNTIF('Suivi projets'!$C$9:$C$58,A11))</f>
        <v>1</v>
      </c>
      <c r="C11" s="20">
        <f>IF(A11="","",SUMIF('Suivi projets'!$C$9:$C$58,A11,'Suivi projets'!$Q$9:$Q$58))</f>
        <v>3.5</v>
      </c>
      <c r="E11" s="19" t="str">
        <f>IF(Paramétrage!K30="","",Paramétrage!K30)</f>
        <v>Client A</v>
      </c>
      <c r="F11" s="36">
        <f>IF(E11="","",COUNTIF('Suivi projets'!$D$9:$D$58,E11))</f>
        <v>1</v>
      </c>
      <c r="G11" s="20">
        <f>IF(E11="","",SUMIF('Suivi projets'!$D$9:$D$58,E11,'Suivi projets'!$Q$9:$Q$58))</f>
        <v>3.5</v>
      </c>
      <c r="I11" s="19" t="str">
        <f>IF(Paramétrage!J30="","",Paramétrage!J30)</f>
        <v>Projet X</v>
      </c>
      <c r="J11" s="36">
        <f>IF(I11="","",COUNTIF('Suivi projets'!$E$9:$E$58,I11))</f>
        <v>1</v>
      </c>
      <c r="K11" s="37">
        <f>IF(I11="","",SUMIF('Suivi projets'!$E$9:$E$58,I11,'Suivi projets'!$O$9:$O$58))</f>
        <v>212.8</v>
      </c>
    </row>
    <row r="12" spans="1:11" x14ac:dyDescent="0.35">
      <c r="A12" s="19" t="str">
        <f>IF(Paramétrage!A31="","",Paramétrage!A31)</f>
        <v>Collab 2</v>
      </c>
      <c r="B12" s="36">
        <f>IF(A12="","",COUNTIF('Suivi projets'!$C$9:$C$58,A12))</f>
        <v>1</v>
      </c>
      <c r="C12" s="20">
        <f>IF(A12="","",SUMIF('Suivi projets'!$C$9:$C$58,A12,'Suivi projets'!$Q$9:$Q$58))</f>
        <v>7.0000000000000036</v>
      </c>
      <c r="E12" s="19" t="str">
        <f>IF(Paramétrage!K31="","",Paramétrage!K31)</f>
        <v>Client B</v>
      </c>
      <c r="F12" s="36">
        <f>IF(E12="","",COUNTIF('Suivi projets'!$D$9:$D$58,E12))</f>
        <v>1</v>
      </c>
      <c r="G12" s="20">
        <f>IF(E12="","",SUMIF('Suivi projets'!$D$9:$D$58,E12,'Suivi projets'!$Q$9:$Q$58))</f>
        <v>7.0000000000000036</v>
      </c>
      <c r="I12" s="19" t="str">
        <f>IF(Paramétrage!J31="","",Paramétrage!J31)</f>
        <v>Projet Y</v>
      </c>
      <c r="J12" s="36">
        <f>IF(I12="","",COUNTIF('Suivi projets'!$E$9:$E$58,I12))</f>
        <v>1</v>
      </c>
      <c r="K12" s="37">
        <f>IF(I12="","",SUMIF('Suivi projets'!$E$9:$E$58,I12,'Suivi projets'!$O$9:$O$58))</f>
        <v>445.20000000000027</v>
      </c>
    </row>
    <row r="13" spans="1:11" x14ac:dyDescent="0.35">
      <c r="A13" s="19" t="str">
        <f>IF(Paramétrage!A32="","",Paramétrage!A32)</f>
        <v/>
      </c>
      <c r="B13" s="36" t="str">
        <f>IF(A13="","",COUNTIF('Suivi projets'!$C$9:$C$58,A13))</f>
        <v/>
      </c>
      <c r="C13" s="20" t="str">
        <f>IF(A13="","",SUMIF('Suivi projets'!$C$9:$C$58,A13,'Suivi projets'!$Q$9:$Q$58))</f>
        <v/>
      </c>
      <c r="E13" s="19" t="str">
        <f>IF(Paramétrage!K32="","",Paramétrage!K32)</f>
        <v/>
      </c>
      <c r="F13" s="36" t="str">
        <f>IF(E13="","",COUNTIF('Suivi projets'!$D$9:$D$58,E13))</f>
        <v/>
      </c>
      <c r="G13" s="20" t="str">
        <f>IF(E13="","",SUMIF('Suivi projets'!$D$9:$D$58,E13,'Suivi projets'!$Q$9:$Q$58))</f>
        <v/>
      </c>
      <c r="I13" s="19" t="str">
        <f>IF(Paramétrage!J32="","",Paramétrage!J32)</f>
        <v/>
      </c>
      <c r="J13" s="36" t="str">
        <f>IF(I13="","",COUNTIF('Suivi projets'!$E$9:$E$58,I13))</f>
        <v/>
      </c>
      <c r="K13" s="37" t="str">
        <f>IF(I13="","",SUMIF('Suivi projets'!$E$9:$E$58,I13,'Suivi projets'!$O$9:$O$58))</f>
        <v/>
      </c>
    </row>
    <row r="14" spans="1:11" x14ac:dyDescent="0.35">
      <c r="A14" s="19" t="str">
        <f>IF(Paramétrage!A33="","",Paramétrage!A33)</f>
        <v/>
      </c>
      <c r="B14" s="36" t="str">
        <f>IF(A14="","",COUNTIF('Suivi projets'!$C$9:$C$58,A14))</f>
        <v/>
      </c>
      <c r="C14" s="20" t="str">
        <f>IF(A14="","",SUMIF('Suivi projets'!$C$9:$C$58,A14,'Suivi projets'!$Q$9:$Q$58))</f>
        <v/>
      </c>
      <c r="E14" s="19" t="str">
        <f>IF(Paramétrage!K33="","",Paramétrage!K33)</f>
        <v/>
      </c>
      <c r="F14" s="36" t="str">
        <f>IF(E14="","",COUNTIF('Suivi projets'!$D$9:$D$58,E14))</f>
        <v/>
      </c>
      <c r="G14" s="20" t="str">
        <f>IF(E14="","",SUMIF('Suivi projets'!$D$9:$D$58,E14,'Suivi projets'!$Q$9:$Q$58))</f>
        <v/>
      </c>
      <c r="I14" s="19" t="str">
        <f>IF(Paramétrage!J33="","",Paramétrage!J33)</f>
        <v/>
      </c>
      <c r="J14" s="36" t="str">
        <f>IF(I14="","",COUNTIF('Suivi projets'!$E$9:$E$58,I14))</f>
        <v/>
      </c>
      <c r="K14" s="37" t="str">
        <f>IF(I14="","",SUMIF('Suivi projets'!$E$9:$E$58,I14,'Suivi projets'!$O$9:$O$58))</f>
        <v/>
      </c>
    </row>
    <row r="15" spans="1:11" x14ac:dyDescent="0.35">
      <c r="A15" s="19" t="str">
        <f>IF(Paramétrage!A34="","",Paramétrage!A34)</f>
        <v/>
      </c>
      <c r="B15" s="36" t="str">
        <f>IF(A15="","",COUNTIF('Suivi projets'!$C$9:$C$58,A15))</f>
        <v/>
      </c>
      <c r="C15" s="20" t="str">
        <f>IF(A15="","",SUMIF('Suivi projets'!$C$9:$C$58,A15,'Suivi projets'!$Q$9:$Q$58))</f>
        <v/>
      </c>
      <c r="E15" s="19" t="str">
        <f>IF(Paramétrage!K34="","",Paramétrage!K34)</f>
        <v/>
      </c>
      <c r="F15" s="36" t="str">
        <f>IF(E15="","",COUNTIF('Suivi projets'!$D$9:$D$58,E15))</f>
        <v/>
      </c>
      <c r="G15" s="20" t="str">
        <f>IF(E15="","",SUMIF('Suivi projets'!$D$9:$D$58,E15,'Suivi projets'!$Q$9:$Q$58))</f>
        <v/>
      </c>
      <c r="I15" s="19" t="str">
        <f>IF(Paramétrage!J34="","",Paramétrage!J34)</f>
        <v/>
      </c>
      <c r="J15" s="36" t="str">
        <f>IF(I15="","",COUNTIF('Suivi projets'!$E$9:$E$58,I15))</f>
        <v/>
      </c>
      <c r="K15" s="37" t="str">
        <f>IF(I15="","",SUMIF('Suivi projets'!$E$9:$E$58,I15,'Suivi projets'!$O$9:$O$58))</f>
        <v/>
      </c>
    </row>
    <row r="16" spans="1:11" x14ac:dyDescent="0.35">
      <c r="A16" s="19" t="str">
        <f>IF(Paramétrage!A35="","",Paramétrage!A35)</f>
        <v/>
      </c>
      <c r="B16" s="36" t="str">
        <f>IF(A16="","",COUNTIF('Suivi projets'!$C$9:$C$58,A16))</f>
        <v/>
      </c>
      <c r="C16" s="20" t="str">
        <f>IF(A16="","",SUMIF('Suivi projets'!$C$9:$C$58,A16,'Suivi projets'!$Q$9:$Q$58))</f>
        <v/>
      </c>
      <c r="E16" s="19" t="str">
        <f>IF(Paramétrage!K35="","",Paramétrage!K35)</f>
        <v/>
      </c>
      <c r="F16" s="36" t="str">
        <f>IF(E16="","",COUNTIF('Suivi projets'!$D$9:$D$58,E16))</f>
        <v/>
      </c>
      <c r="G16" s="20" t="str">
        <f>IF(E16="","",SUMIF('Suivi projets'!$D$9:$D$58,E16,'Suivi projets'!$Q$9:$Q$58))</f>
        <v/>
      </c>
      <c r="I16" s="19" t="str">
        <f>IF(Paramétrage!J35="","",Paramétrage!J35)</f>
        <v/>
      </c>
      <c r="J16" s="36" t="str">
        <f>IF(I16="","",COUNTIF('Suivi projets'!$E$9:$E$58,I16))</f>
        <v/>
      </c>
      <c r="K16" s="37" t="str">
        <f>IF(I16="","",SUMIF('Suivi projets'!$E$9:$E$58,I16,'Suivi projets'!$O$9:$O$58))</f>
        <v/>
      </c>
    </row>
    <row r="17" spans="1:11" x14ac:dyDescent="0.35">
      <c r="A17" s="19" t="str">
        <f>IF(Paramétrage!A36="","",Paramétrage!A36)</f>
        <v/>
      </c>
      <c r="B17" s="36" t="str">
        <f>IF(A17="","",COUNTIF('Suivi projets'!$C$9:$C$58,A17))</f>
        <v/>
      </c>
      <c r="C17" s="20" t="str">
        <f>IF(A17="","",SUMIF('Suivi projets'!$C$9:$C$58,A17,'Suivi projets'!$Q$9:$Q$58))</f>
        <v/>
      </c>
      <c r="E17" s="19" t="str">
        <f>IF(Paramétrage!K36="","",Paramétrage!K36)</f>
        <v/>
      </c>
      <c r="F17" s="36" t="str">
        <f>IF(E17="","",COUNTIF('Suivi projets'!$D$9:$D$58,E17))</f>
        <v/>
      </c>
      <c r="G17" s="20" t="str">
        <f>IF(E17="","",SUMIF('Suivi projets'!$D$9:$D$58,E17,'Suivi projets'!$Q$9:$Q$58))</f>
        <v/>
      </c>
      <c r="I17" s="19" t="str">
        <f>IF(Paramétrage!J36="","",Paramétrage!J36)</f>
        <v/>
      </c>
      <c r="J17" s="36" t="str">
        <f>IF(I17="","",COUNTIF('Suivi projets'!$E$9:$E$58,I17))</f>
        <v/>
      </c>
      <c r="K17" s="37" t="str">
        <f>IF(I17="","",SUMIF('Suivi projets'!$E$9:$E$58,I17,'Suivi projets'!$O$9:$O$58))</f>
        <v/>
      </c>
    </row>
    <row r="18" spans="1:11" x14ac:dyDescent="0.35">
      <c r="A18" s="19" t="str">
        <f>IF(Paramétrage!A37="","",Paramétrage!A37)</f>
        <v/>
      </c>
      <c r="B18" s="36" t="str">
        <f>IF(A18="","",COUNTIF('Suivi projets'!$C$9:$C$58,A18))</f>
        <v/>
      </c>
      <c r="C18" s="20" t="str">
        <f>IF(A18="","",SUMIF('Suivi projets'!$C$9:$C$58,A18,'Suivi projets'!$Q$9:$Q$58))</f>
        <v/>
      </c>
      <c r="E18" s="19" t="str">
        <f>IF(Paramétrage!K37="","",Paramétrage!K37)</f>
        <v/>
      </c>
      <c r="F18" s="36" t="str">
        <f>IF(E18="","",COUNTIF('Suivi projets'!$D$9:$D$58,E18))</f>
        <v/>
      </c>
      <c r="G18" s="20" t="str">
        <f>IF(E18="","",SUMIF('Suivi projets'!$D$9:$D$58,E18,'Suivi projets'!$Q$9:$Q$58))</f>
        <v/>
      </c>
      <c r="I18" s="19" t="str">
        <f>IF(Paramétrage!J37="","",Paramétrage!J37)</f>
        <v/>
      </c>
      <c r="J18" s="36" t="str">
        <f>IF(I18="","",COUNTIF('Suivi projets'!$E$9:$E$58,I18))</f>
        <v/>
      </c>
      <c r="K18" s="37" t="str">
        <f>IF(I18="","",SUMIF('Suivi projets'!$E$9:$E$58,I18,'Suivi projets'!$O$9:$O$58))</f>
        <v/>
      </c>
    </row>
    <row r="19" spans="1:11" x14ac:dyDescent="0.35">
      <c r="A19" s="19" t="str">
        <f>IF(Paramétrage!A38="","",Paramétrage!A38)</f>
        <v/>
      </c>
      <c r="B19" s="36" t="str">
        <f>IF(A19="","",COUNTIF('Suivi projets'!$C$9:$C$58,A19))</f>
        <v/>
      </c>
      <c r="C19" s="20" t="str">
        <f>IF(A19="","",SUMIF('Suivi projets'!$C$9:$C$58,A19,'Suivi projets'!$Q$9:$Q$58))</f>
        <v/>
      </c>
      <c r="E19" s="19" t="str">
        <f>IF(Paramétrage!K38="","",Paramétrage!K38)</f>
        <v/>
      </c>
      <c r="F19" s="36" t="str">
        <f>IF(E19="","",COUNTIF('Suivi projets'!$D$9:$D$58,E19))</f>
        <v/>
      </c>
      <c r="G19" s="20" t="str">
        <f>IF(E19="","",SUMIF('Suivi projets'!$D$9:$D$58,E19,'Suivi projets'!$Q$9:$Q$58))</f>
        <v/>
      </c>
      <c r="I19" s="19" t="str">
        <f>IF(Paramétrage!J38="","",Paramétrage!J38)</f>
        <v/>
      </c>
      <c r="J19" s="36" t="str">
        <f>IF(I19="","",COUNTIF('Suivi projets'!$E$9:$E$58,I19))</f>
        <v/>
      </c>
      <c r="K19" s="37" t="str">
        <f>IF(I19="","",SUMIF('Suivi projets'!$E$9:$E$58,I19,'Suivi projets'!$O$9:$O$58))</f>
        <v/>
      </c>
    </row>
    <row r="20" spans="1:11" x14ac:dyDescent="0.35">
      <c r="A20" s="19" t="str">
        <f>IF(Paramétrage!A39="","",Paramétrage!A39)</f>
        <v/>
      </c>
      <c r="B20" s="36" t="str">
        <f>IF(A20="","",COUNTIF('Suivi projets'!$C$9:$C$58,A20))</f>
        <v/>
      </c>
      <c r="C20" s="20" t="str">
        <f>IF(A20="","",SUMIF('Suivi projets'!$C$9:$C$58,A20,'Suivi projets'!$Q$9:$Q$58))</f>
        <v/>
      </c>
      <c r="E20" s="19" t="str">
        <f>IF(Paramétrage!K39="","",Paramétrage!K39)</f>
        <v/>
      </c>
      <c r="F20" s="36" t="str">
        <f>IF(E20="","",COUNTIF('Suivi projets'!$D$9:$D$58,E20))</f>
        <v/>
      </c>
      <c r="G20" s="20" t="str">
        <f>IF(E20="","",SUMIF('Suivi projets'!$D$9:$D$58,E20,'Suivi projets'!$Q$9:$Q$58))</f>
        <v/>
      </c>
      <c r="I20" s="19" t="str">
        <f>IF(Paramétrage!J39="","",Paramétrage!J39)</f>
        <v/>
      </c>
      <c r="J20" s="36" t="str">
        <f>IF(I20="","",COUNTIF('Suivi projets'!$E$9:$E$58,I20))</f>
        <v/>
      </c>
      <c r="K20" s="37" t="str">
        <f>IF(I20="","",SUMIF('Suivi projets'!$E$9:$E$58,I20,'Suivi projets'!$O$9:$O$58))</f>
        <v/>
      </c>
    </row>
    <row r="21" spans="1:11" x14ac:dyDescent="0.35">
      <c r="A21" s="19" t="str">
        <f>IF(Paramétrage!A40="","",Paramétrage!A40)</f>
        <v/>
      </c>
      <c r="B21" s="36" t="str">
        <f>IF(A21="","",COUNTIF('Suivi projets'!$C$9:$C$58,A21))</f>
        <v/>
      </c>
      <c r="C21" s="20" t="str">
        <f>IF(A21="","",SUMIF('Suivi projets'!$C$9:$C$58,A21,'Suivi projets'!$Q$9:$Q$58))</f>
        <v/>
      </c>
      <c r="E21" s="19" t="str">
        <f>IF(Paramétrage!K40="","",Paramétrage!K40)</f>
        <v/>
      </c>
      <c r="F21" s="36" t="str">
        <f>IF(E21="","",COUNTIF('Suivi projets'!$D$9:$D$58,E21))</f>
        <v/>
      </c>
      <c r="G21" s="20" t="str">
        <f>IF(E21="","",SUMIF('Suivi projets'!$D$9:$D$58,E21,'Suivi projets'!$Q$9:$Q$58))</f>
        <v/>
      </c>
      <c r="I21" s="19" t="str">
        <f>IF(Paramétrage!J40="","",Paramétrage!J40)</f>
        <v/>
      </c>
      <c r="J21" s="36" t="str">
        <f>IF(I21="","",COUNTIF('Suivi projets'!$E$9:$E$58,I21))</f>
        <v/>
      </c>
      <c r="K21" s="37" t="str">
        <f>IF(I21="","",SUMIF('Suivi projets'!$E$9:$E$58,I21,'Suivi projets'!$O$9:$O$58))</f>
        <v/>
      </c>
    </row>
    <row r="22" spans="1:11" x14ac:dyDescent="0.35">
      <c r="A22" s="19" t="str">
        <f>IF(Paramétrage!A41="","",Paramétrage!A41)</f>
        <v/>
      </c>
      <c r="B22" s="36" t="str">
        <f>IF(A22="","",COUNTIF('Suivi projets'!$C$9:$C$58,A22))</f>
        <v/>
      </c>
      <c r="C22" s="20" t="str">
        <f>IF(A22="","",SUMIF('Suivi projets'!$C$9:$C$58,A22,'Suivi projets'!$Q$9:$Q$58))</f>
        <v/>
      </c>
      <c r="E22" s="19" t="str">
        <f>IF(Paramétrage!K41="","",Paramétrage!K41)</f>
        <v/>
      </c>
      <c r="F22" s="36" t="str">
        <f>IF(E22="","",COUNTIF('Suivi projets'!$D$9:$D$58,E22))</f>
        <v/>
      </c>
      <c r="G22" s="20" t="str">
        <f>IF(E22="","",SUMIF('Suivi projets'!$D$9:$D$58,E22,'Suivi projets'!$Q$9:$Q$58))</f>
        <v/>
      </c>
      <c r="I22" s="19" t="str">
        <f>IF(Paramétrage!J41="","",Paramétrage!J41)</f>
        <v/>
      </c>
      <c r="J22" s="36" t="str">
        <f>IF(I22="","",COUNTIF('Suivi projets'!$E$9:$E$58,I22))</f>
        <v/>
      </c>
      <c r="K22" s="37" t="str">
        <f>IF(I22="","",SUMIF('Suivi projets'!$E$9:$E$58,I22,'Suivi projets'!$O$9:$O$58))</f>
        <v/>
      </c>
    </row>
    <row r="25" spans="1:11" x14ac:dyDescent="0.35">
      <c r="A25" s="25" t="s">
        <v>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35">
      <c r="A26" s="23" t="s">
        <v>88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9" spans="1:11" x14ac:dyDescent="0.35">
      <c r="A29" s="26" t="s">
        <v>41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35">
      <c r="A30" s="27" t="s">
        <v>89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</sheetData>
  <sheetProtection formatCells="0" formatColumns="0" formatRows="0" insertRows="0" deleteRows="0" sort="0" autoFilter="0"/>
  <mergeCells count="16">
    <mergeCell ref="A25:K25"/>
    <mergeCell ref="A26:K27"/>
    <mergeCell ref="A29:K29"/>
    <mergeCell ref="A30:K31"/>
    <mergeCell ref="A1:K2"/>
    <mergeCell ref="A3:K3"/>
    <mergeCell ref="A5:B5"/>
    <mergeCell ref="A6:B7"/>
    <mergeCell ref="C5:D5"/>
    <mergeCell ref="C6:D7"/>
    <mergeCell ref="E5:F5"/>
    <mergeCell ref="E6:F7"/>
    <mergeCell ref="G5:H5"/>
    <mergeCell ref="G6:H7"/>
    <mergeCell ref="I5:K5"/>
    <mergeCell ref="I6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Paramétrage</vt:lpstr>
      <vt:lpstr>Suivi projets</vt:lpstr>
      <vt:lpstr>Finance €</vt:lpstr>
      <vt:lpstr>Statistiques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Margot GARCIA</cp:lastModifiedBy>
  <dcterms:created xsi:type="dcterms:W3CDTF">2026-04-28T13:13:30Z</dcterms:created>
  <dcterms:modified xsi:type="dcterms:W3CDTF">2026-04-28T16:18:58Z</dcterms:modified>
</cp:coreProperties>
</file>